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階段　鉄骨階段の検討その２（踏み板・ササラ）" sheetId="1" r:id="rId1"/>
  </sheets>
  <definedNames>
    <definedName name="_xlnm.Print_Area" localSheetId="0">'階段　鉄骨階段の検討その２（踏み板・ササラ）'!$A$1:$X$103</definedName>
  </definedNames>
  <calcPr fullCalcOnLoad="1"/>
</workbook>
</file>

<file path=xl/sharedStrings.xml><?xml version="1.0" encoding="utf-8"?>
<sst xmlns="http://schemas.openxmlformats.org/spreadsheetml/2006/main" count="394" uniqueCount="221">
  <si>
    <t>階段踏板及び踊り場プレートの設計</t>
  </si>
  <si>
    <t>階段</t>
  </si>
  <si>
    <t>W(積載荷重含む）</t>
  </si>
  <si>
    <t>踏面幅(m)</t>
  </si>
  <si>
    <t>【荷重条件】</t>
  </si>
  <si>
    <t>　踊り場の床荷重Ｗo＝</t>
  </si>
  <si>
    <t>*</t>
  </si>
  <si>
    <t>＝</t>
  </si>
  <si>
    <t>KN/mとなる。</t>
  </si>
  <si>
    <t>（踏み面）</t>
  </si>
  <si>
    <t>ｗｏ</t>
  </si>
  <si>
    <t>(安全率）</t>
  </si>
  <si>
    <t>設計踊り場荷重はＷoより　Ｗ＝</t>
  </si>
  <si>
    <t>KN/mとして計算を行う</t>
  </si>
  <si>
    <t>（入力必要条件）</t>
  </si>
  <si>
    <t>許容スパンＬ(m）＝</t>
  </si>
  <si>
    <t>mとする</t>
  </si>
  <si>
    <t>Ｗ</t>
  </si>
  <si>
    <t>Ｌ</t>
  </si>
  <si>
    <t>＾２</t>
  </si>
  <si>
    <t>【設計応力】</t>
  </si>
  <si>
    <t>＊</t>
  </si>
  <si>
    <t>／</t>
  </si>
  <si>
    <t>８＝</t>
  </si>
  <si>
    <t>KNm</t>
  </si>
  <si>
    <t>必要板厚算出のＭ＝</t>
  </si>
  <si>
    <t>KNcm</t>
  </si>
  <si>
    <t>Ｑ＝Ｗ＊Ｌ／２　＝</t>
  </si>
  <si>
    <t>２＝</t>
  </si>
  <si>
    <t>KN</t>
  </si>
  <si>
    <t>撓みの制限よりの必要断面二次モーメントＩｘ＝</t>
  </si>
  <si>
    <t>（撓み制限L/３００以上より）</t>
  </si>
  <si>
    <t>L/300の時：α=１．８６　L/360の時：α=２．２　　を入力する</t>
  </si>
  <si>
    <t>（１）必要踏板及び踊り場板厚(プレート板の場合）の設計</t>
  </si>
  <si>
    <t>１：形状Ｄタイプ</t>
  </si>
  <si>
    <t>cm</t>
  </si>
  <si>
    <t>1/2</t>
  </si>
  <si>
    <t>σ＝Ｍ／Ｚ　より必要板厚を求める</t>
  </si>
  <si>
    <t>板厚ｔ</t>
  </si>
  <si>
    <t>＝（</t>
  </si>
  <si>
    <t>*6/</t>
  </si>
  <si>
    <t>*14）</t>
  </si>
  <si>
    <t>cm以上</t>
  </si>
  <si>
    <t>mm</t>
  </si>
  <si>
    <t>1/3</t>
  </si>
  <si>
    <t>撓み制限より必要板厚を求める</t>
  </si>
  <si>
    <t>*12/</t>
  </si>
  <si>
    <t>　）</t>
  </si>
  <si>
    <t>設計床荷重に対する必要プレート板厚　ｔ　は</t>
  </si>
  <si>
    <t>とします。</t>
  </si>
  <si>
    <t>（２）Ｕ形踏み板の場合の設計</t>
  </si>
  <si>
    <t>２：形状Ｂタイプ</t>
  </si>
  <si>
    <t>A１</t>
  </si>
  <si>
    <t>２枚のＡ１板断面ｔ１*ｈ１=</t>
  </si>
  <si>
    <t>(2*t1*h1)*h1/2</t>
  </si>
  <si>
    <t>h1</t>
  </si>
  <si>
    <t>Ａ２板断面ｔ２*ｂ２=</t>
  </si>
  <si>
    <t>(b2-2t1)*t2/2</t>
  </si>
  <si>
    <t>Ａ２</t>
  </si>
  <si>
    <t>合計ΣAｃ㎡</t>
  </si>
  <si>
    <t>b2</t>
  </si>
  <si>
    <t>(ｂ２は踏み板外面寸法）</t>
  </si>
  <si>
    <t>Ｕ形踏み板の重心位置cm</t>
  </si>
  <si>
    <t>Ｕ形踏み板の断面係数Ｚｘ＝ΣIx／y</t>
  </si>
  <si>
    <t>ｆｂ＝</t>
  </si>
  <si>
    <t>曲げ応力度の検討 Ｍ／Ｚ*ｆｂ＝</t>
  </si>
  <si>
    <t>Ｕ形踏み板断面</t>
  </si>
  <si>
    <t>高さ</t>
  </si>
  <si>
    <t xml:space="preserve"> 踏み板幅</t>
  </si>
  <si>
    <t>板厚</t>
  </si>
  <si>
    <t>mm以上</t>
  </si>
  <si>
    <t>（３）必要踏板・蹴上げ（Ｚ形）の場合の板厚の設計</t>
  </si>
  <si>
    <t>３：形状Ａタイプ（ウェブのみ有効）</t>
  </si>
  <si>
    <t>M(KNcm)</t>
  </si>
  <si>
    <t>h(cm)</t>
  </si>
  <si>
    <t>^2</t>
  </si>
  <si>
    <t>^3</t>
  </si>
  <si>
    <t>ｈ</t>
  </si>
  <si>
    <t>mm以上とする</t>
  </si>
  <si>
    <t>（４）必要踏板・蹴上げ（Ｚ形）の場合の板厚の設計</t>
  </si>
  <si>
    <t>４：形状Ａタイプ（全断面有効）</t>
  </si>
  <si>
    <t>踏み面幅B</t>
  </si>
  <si>
    <t>I=</t>
  </si>
  <si>
    <t>蹴上げ幅h</t>
  </si>
  <si>
    <t>Z=</t>
  </si>
  <si>
    <t>σ=</t>
  </si>
  <si>
    <t>B/2</t>
  </si>
  <si>
    <t>　Ｂ</t>
  </si>
  <si>
    <t>必要Ｚ=M/σ＝</t>
  </si>
  <si>
    <t>設計蹴上げ・踏み板の形状は</t>
  </si>
  <si>
    <t>設計必要プレート板厚　ｔ　は</t>
  </si>
  <si>
    <t>mmとします</t>
  </si>
  <si>
    <t>１：踏み板形　　２：Ｕ形　　３：Ｚ形（ウェブのみ有効）　　４：Ｚ形（全断面有効）</t>
  </si>
  <si>
    <t>階段ササラ桁の設計</t>
  </si>
  <si>
    <t>（１）設計荷重及び応力</t>
  </si>
  <si>
    <t>1/</t>
  </si>
  <si>
    <t>にて部材決定する</t>
  </si>
  <si>
    <t>階段荷重(DL+LL)</t>
  </si>
  <si>
    <t>階段幅(m)</t>
  </si>
  <si>
    <t>ササラ桁に作用する荷重Ｗ＝</t>
  </si>
  <si>
    <t>KN/m</t>
  </si>
  <si>
    <t>階段荷重（Ｗ）</t>
  </si>
  <si>
    <t>/８=</t>
  </si>
  <si>
    <t>Ｑ＝Ｗ＊Ｌ／２＝</t>
  </si>
  <si>
    <t>/２＝</t>
  </si>
  <si>
    <t>必要Ｉｘは</t>
  </si>
  <si>
    <t>　スパンＬ＝</t>
  </si>
  <si>
    <t>m(スパン入力により応力計算行います）</t>
  </si>
  <si>
    <t>切り上げ数値採用</t>
  </si>
  <si>
    <t>（２）必要ササラ桁板厚の場合の設計</t>
  </si>
  <si>
    <t>ササラ桁高さ入力</t>
  </si>
  <si>
    <t>必要板厚</t>
  </si>
  <si>
    <t>設計板厚</t>
  </si>
  <si>
    <t xml:space="preserve">   h</t>
  </si>
  <si>
    <t>*6/(</t>
  </si>
  <si>
    <t>)*14）</t>
  </si>
  <si>
    <t>&lt;</t>
  </si>
  <si>
    <t>撓み（Ｉ）制限より必要板厚を求める</t>
  </si>
  <si>
    <t>*12/(</t>
  </si>
  <si>
    <t>設計床荷重に対するササラ桁の必要断面は</t>
  </si>
  <si>
    <t>mm以上とします</t>
  </si>
  <si>
    <t>（３）ササラ梁（溝形鋼）の場合の検証</t>
  </si>
  <si>
    <t>溝形鋼部材コ－</t>
  </si>
  <si>
    <t>Ａ=</t>
  </si>
  <si>
    <t>Ｉx=</t>
  </si>
  <si>
    <t>Zx=</t>
  </si>
  <si>
    <t>梁座屈許容スパンＬ=</t>
  </si>
  <si>
    <t>m</t>
  </si>
  <si>
    <t>許容曲げ応力度ｆｂ＝900/(lb*h/Af)=</t>
  </si>
  <si>
    <t>撓みよりの必要断面二次モーメントＩｘ</t>
  </si>
  <si>
    <t>断面検討σｂ＝M／Ｚｘ*ｆｂ≦0.9より</t>
  </si>
  <si>
    <t>（４）ササラ端部のボルト本数</t>
  </si>
  <si>
    <t>高力ボルトの種類</t>
  </si>
  <si>
    <t>μ</t>
  </si>
  <si>
    <t>１面せん断力</t>
  </si>
  <si>
    <t>ボルト径</t>
  </si>
  <si>
    <t>Μ</t>
  </si>
  <si>
    <t>M12</t>
  </si>
  <si>
    <t>摩擦面数</t>
  </si>
  <si>
    <t>面</t>
  </si>
  <si>
    <t>M16</t>
  </si>
  <si>
    <t>１：長期・２：短期の区別</t>
  </si>
  <si>
    <t>M20</t>
  </si>
  <si>
    <t>ボルトの許容せん断力Ｒ（ＫＮ）</t>
  </si>
  <si>
    <t>設計端部せん断力Ｑ（ＫＮ）</t>
  </si>
  <si>
    <t>応力に対するボルト本数n=Q/R</t>
  </si>
  <si>
    <t>ササラ桁の成Ｈ（mm）</t>
  </si>
  <si>
    <t>ササラ桁のボルトは</t>
  </si>
  <si>
    <t>Ｍ</t>
  </si>
  <si>
    <t>で</t>
  </si>
  <si>
    <t>本数ｎは</t>
  </si>
  <si>
    <t>本以上とする。</t>
  </si>
  <si>
    <t>設計ササラ桁の断面は</t>
  </si>
  <si>
    <t>ササラ桁断面は</t>
  </si>
  <si>
    <t>(１：プレート断面　２：溝形鋼断面　）</t>
  </si>
  <si>
    <t>階段柱脚部の設計</t>
  </si>
  <si>
    <t>（１）踏み板の設計</t>
  </si>
  <si>
    <t>Ｌｏ＝</t>
  </si>
  <si>
    <t>（ａ）</t>
  </si>
  <si>
    <t>ササラ桁の端部せん断力</t>
  </si>
  <si>
    <t>Ｑ</t>
  </si>
  <si>
    <t>ＢＰＬ</t>
  </si>
  <si>
    <t>割り増し率α＝</t>
  </si>
  <si>
    <t>幅ｃｍ</t>
  </si>
  <si>
    <t>*α*6/</t>
  </si>
  <si>
    <t>47.6*α</t>
  </si>
  <si>
    <t>設計床荷重に対する踏み板厚は</t>
  </si>
  <si>
    <t>19*200</t>
  </si>
  <si>
    <t>（２）Ｔ型プレート厚の設計</t>
  </si>
  <si>
    <t>片側荷重による曲げモーメント生じるＭ＝Ｐ＊ｅ　　地震時曲げＭｈ＝Ｐ＊Ｋ＊ｈ（Ｋ＝１．０）</t>
  </si>
  <si>
    <t>ササラ桁反力</t>
  </si>
  <si>
    <t>Ｐ＝</t>
  </si>
  <si>
    <t>ｅ（cm）</t>
  </si>
  <si>
    <t>ΣＭ</t>
  </si>
  <si>
    <t>ｈ＝</t>
  </si>
  <si>
    <t>Ｉ</t>
  </si>
  <si>
    <t>ｈ(cm）</t>
  </si>
  <si>
    <t>ΣＭh</t>
  </si>
  <si>
    <t>（ａ）断面</t>
  </si>
  <si>
    <t>偏心距離ｅ＝</t>
  </si>
  <si>
    <t>σ＝Ｍ／Ｚ　より必要板厚を求める長期</t>
  </si>
  <si>
    <t>σ＝Ｍ／Ｚ　より必要板厚を求める短期</t>
  </si>
  <si>
    <t>*21）</t>
  </si>
  <si>
    <t>２ＥＩ</t>
  </si>
  <si>
    <t>δ/ｈ</t>
  </si>
  <si>
    <t>1／</t>
  </si>
  <si>
    <t>設計床荷重に対するＴ型板厚は</t>
  </si>
  <si>
    <t>19*156*450</t>
  </si>
  <si>
    <t>階段</t>
  </si>
  <si>
    <r>
      <t>M＝Ｗ＊Ｌ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／８＝</t>
    </r>
  </si>
  <si>
    <r>
      <t>KN/</t>
    </r>
    <r>
      <rPr>
        <sz val="12"/>
        <rFont val="ＭＳ Ｐゴシック"/>
        <family val="3"/>
      </rPr>
      <t>m</t>
    </r>
    <r>
      <rPr>
        <vertAlign val="superscript"/>
        <sz val="12"/>
        <rFont val="ＭＳ Ｐゴシック"/>
        <family val="3"/>
      </rPr>
      <t>2</t>
    </r>
  </si>
  <si>
    <r>
      <t>α*Ｗ*Ｌ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>＝</t>
    </r>
  </si>
  <si>
    <r>
      <t>cm</t>
    </r>
    <r>
      <rPr>
        <vertAlign val="superscript"/>
        <sz val="12"/>
        <rFont val="ＭＳ Ｐゴシック"/>
        <family val="3"/>
      </rPr>
      <t>4</t>
    </r>
  </si>
  <si>
    <t>L ^3</t>
  </si>
  <si>
    <r>
      <t>Ｕ形踏み板の断面二次モーメントΣIｘ＝IX+2*A1*(h1/2-e)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+I2+A2*(b2-2t1)*(e-t2/2)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=</t>
    </r>
  </si>
  <si>
    <r>
      <t>cm</t>
    </r>
    <r>
      <rPr>
        <vertAlign val="superscript"/>
        <sz val="12"/>
        <rFont val="ＭＳ Ｐゴシック"/>
        <family val="3"/>
      </rPr>
      <t>3</t>
    </r>
  </si>
  <si>
    <r>
      <t>KN/ｃ</t>
    </r>
    <r>
      <rPr>
        <sz val="12"/>
        <rFont val="ＭＳ Ｐゴシック"/>
        <family val="3"/>
      </rPr>
      <t>m</t>
    </r>
    <r>
      <rPr>
        <vertAlign val="superscript"/>
        <sz val="12"/>
        <rFont val="ＭＳ Ｐゴシック"/>
        <family val="3"/>
      </rPr>
      <t>2</t>
    </r>
  </si>
  <si>
    <r>
      <t>必要Ｉ=1.86WL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=</t>
    </r>
  </si>
  <si>
    <r>
      <t>断面積ｃm</t>
    </r>
    <r>
      <rPr>
        <vertAlign val="superscript"/>
        <sz val="12"/>
        <rFont val="ＭＳ Ｐゴシック"/>
        <family val="3"/>
      </rPr>
      <t>2</t>
    </r>
  </si>
  <si>
    <r>
      <t>N/mm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とすると</t>
    </r>
  </si>
  <si>
    <r>
      <t>Ix(cm</t>
    </r>
    <r>
      <rPr>
        <vertAlign val="superscript"/>
        <sz val="12"/>
        <rFont val="ＭＳ Ｐゴシック"/>
        <family val="3"/>
      </rPr>
      <t>4</t>
    </r>
    <r>
      <rPr>
        <sz val="12"/>
        <rFont val="ＭＳ Ｐゴシック"/>
        <family val="3"/>
      </rPr>
      <t>)</t>
    </r>
  </si>
  <si>
    <t>階段</t>
  </si>
  <si>
    <t>撓みの制限値は１／３６０以内且つ最大撓みδ＝</t>
  </si>
  <si>
    <r>
      <t>c</t>
    </r>
    <r>
      <rPr>
        <sz val="12"/>
        <rFont val="ＭＳ Ｐゴシック"/>
        <family val="3"/>
      </rPr>
      <t>m</t>
    </r>
    <r>
      <rPr>
        <sz val="12"/>
        <rFont val="ＭＳ Ｐゴシック"/>
        <family val="3"/>
      </rPr>
      <t>とすると</t>
    </r>
  </si>
  <si>
    <r>
      <t>KN/</t>
    </r>
    <r>
      <rPr>
        <sz val="12"/>
        <rFont val="ＭＳ Ｐゴシック"/>
        <family val="3"/>
      </rPr>
      <t>m</t>
    </r>
    <r>
      <rPr>
        <vertAlign val="superscript"/>
        <sz val="12"/>
        <rFont val="ＭＳ Ｐゴシック"/>
        <family val="3"/>
      </rPr>
      <t>2</t>
    </r>
  </si>
  <si>
    <r>
      <t>/</t>
    </r>
    <r>
      <rPr>
        <sz val="12"/>
        <rFont val="ＭＳ Ｐゴシック"/>
        <family val="3"/>
      </rPr>
      <t>2=</t>
    </r>
  </si>
  <si>
    <r>
      <t>Ｍ＝Ｗ＊Ｌ</t>
    </r>
    <r>
      <rPr>
        <vertAlign val="superscript"/>
        <sz val="12"/>
        <rFont val="ＭＳ Ｐゴシック"/>
        <family val="3"/>
      </rPr>
      <t>２</t>
    </r>
    <r>
      <rPr>
        <sz val="12"/>
        <rFont val="ＭＳ Ｐゴシック"/>
        <family val="3"/>
      </rPr>
      <t>／８＝</t>
    </r>
  </si>
  <si>
    <r>
      <t>Ｉｘ＝α*Ｗ*Ｌ</t>
    </r>
    <r>
      <rPr>
        <vertAlign val="superscript"/>
        <sz val="12"/>
        <rFont val="ＭＳ Ｐゴシック"/>
        <family val="3"/>
      </rPr>
      <t>３</t>
    </r>
    <r>
      <rPr>
        <sz val="12"/>
        <rFont val="ＭＳ Ｐゴシック"/>
        <family val="3"/>
      </rPr>
      <t>＝</t>
    </r>
  </si>
  <si>
    <r>
      <t>cm</t>
    </r>
    <r>
      <rPr>
        <vertAlign val="superscript"/>
        <sz val="12"/>
        <rFont val="ＭＳ Ｐゴシック"/>
        <family val="3"/>
      </rPr>
      <t>4</t>
    </r>
    <r>
      <rPr>
        <sz val="12"/>
        <rFont val="ＭＳ Ｐゴシック"/>
        <family val="3"/>
      </rPr>
      <t>以上必要</t>
    </r>
  </si>
  <si>
    <r>
      <t>cm</t>
    </r>
    <r>
      <rPr>
        <vertAlign val="superscript"/>
        <sz val="12"/>
        <rFont val="ＭＳ Ｐゴシック"/>
        <family val="3"/>
      </rPr>
      <t>4</t>
    </r>
  </si>
  <si>
    <r>
      <t>c</t>
    </r>
    <r>
      <rPr>
        <sz val="12"/>
        <rFont val="ＭＳ Ｐゴシック"/>
        <family val="3"/>
      </rPr>
      <t>m</t>
    </r>
    <r>
      <rPr>
        <vertAlign val="superscript"/>
        <sz val="12"/>
        <rFont val="ＭＳ Ｐゴシック"/>
        <family val="3"/>
      </rPr>
      <t>4</t>
    </r>
  </si>
  <si>
    <r>
      <t>c</t>
    </r>
    <r>
      <rPr>
        <sz val="12"/>
        <rFont val="ＭＳ Ｐゴシック"/>
        <family val="3"/>
      </rPr>
      <t>m</t>
    </r>
    <r>
      <rPr>
        <vertAlign val="superscript"/>
        <sz val="12"/>
        <rFont val="ＭＳ Ｐゴシック"/>
        <family val="3"/>
      </rPr>
      <t>3</t>
    </r>
  </si>
  <si>
    <r>
      <t>KN/cm</t>
    </r>
    <r>
      <rPr>
        <vertAlign val="superscript"/>
        <sz val="12"/>
        <rFont val="ＭＳ Ｐゴシック"/>
        <family val="3"/>
      </rPr>
      <t>2</t>
    </r>
  </si>
  <si>
    <r>
      <t>跳ね出し長さL</t>
    </r>
    <r>
      <rPr>
        <sz val="12"/>
        <rFont val="ＭＳ Ｐゴシック"/>
        <family val="3"/>
      </rPr>
      <t>=Lo+6</t>
    </r>
    <r>
      <rPr>
        <sz val="12"/>
        <rFont val="ＭＳ Ｐゴシック"/>
        <family val="3"/>
      </rPr>
      <t>ｔ＝</t>
    </r>
  </si>
  <si>
    <r>
      <t xml:space="preserve"> 　　必要断面二次モーメントＩｘ＝</t>
    </r>
    <r>
      <rPr>
        <sz val="12"/>
        <rFont val="ＭＳ Ｐゴシック"/>
        <family val="3"/>
      </rPr>
      <t>47.6</t>
    </r>
    <r>
      <rPr>
        <sz val="12"/>
        <rFont val="ＭＳ Ｐゴシック"/>
        <family val="3"/>
      </rPr>
      <t>*α＊</t>
    </r>
    <r>
      <rPr>
        <sz val="12"/>
        <rFont val="ＭＳ Ｐゴシック"/>
        <family val="3"/>
      </rPr>
      <t>P</t>
    </r>
    <r>
      <rPr>
        <sz val="12"/>
        <rFont val="ＭＳ Ｐゴシック"/>
        <family val="3"/>
      </rPr>
      <t>*</t>
    </r>
    <r>
      <rPr>
        <sz val="12"/>
        <rFont val="ＭＳ Ｐゴシック"/>
        <family val="3"/>
      </rPr>
      <t>L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＝</t>
    </r>
  </si>
  <si>
    <t>cm</t>
  </si>
  <si>
    <r>
      <t>撓みの検討δ=</t>
    </r>
    <r>
      <rPr>
        <sz val="12"/>
        <rFont val="ＭＳ Ｐゴシック"/>
        <family val="3"/>
      </rPr>
      <t>M*h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/2EI</t>
    </r>
    <r>
      <rPr>
        <sz val="12"/>
        <rFont val="ＭＳ Ｐゴシック"/>
        <family val="3"/>
      </rPr>
      <t>=</t>
    </r>
  </si>
  <si>
    <r>
      <t>合計ΣA*ｅ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cm</t>
    </r>
    <r>
      <rPr>
        <vertAlign val="superscript"/>
        <sz val="12"/>
        <rFont val="ＭＳ Ｐゴシック"/>
        <family val="3"/>
      </rPr>
      <t>3</t>
    </r>
  </si>
  <si>
    <t>σ＝Ｍ／Ｚより必要板厚を求める</t>
  </si>
  <si>
    <r>
      <t>^</t>
    </r>
    <r>
      <rPr>
        <sz val="12"/>
        <rFont val="ＭＳ Ｐゴシック"/>
        <family val="3"/>
      </rPr>
      <t>3</t>
    </r>
  </si>
  <si>
    <r>
      <t>c</t>
    </r>
    <r>
      <rPr>
        <sz val="12"/>
        <rFont val="ＭＳ Ｐゴシック"/>
        <family val="3"/>
      </rPr>
      <t>m</t>
    </r>
    <r>
      <rPr>
        <vertAlign val="superscript"/>
        <sz val="12"/>
        <rFont val="ＭＳ Ｐゴシック"/>
        <family val="3"/>
      </rPr>
      <t>2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</si>
</sst>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vertAlign val="superscript"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vertical="center"/>
    </xf>
    <xf numFmtId="176" fontId="0" fillId="34" borderId="0" xfId="0" applyNumberFormat="1" applyFont="1" applyFill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176" fontId="0" fillId="35" borderId="10" xfId="0" applyNumberFormat="1" applyFont="1" applyFill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35" borderId="10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34" borderId="0" xfId="0" applyNumberFormat="1" applyFont="1" applyFill="1" applyAlignment="1">
      <alignment vertical="center"/>
    </xf>
    <xf numFmtId="0" fontId="0" fillId="35" borderId="10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2" fontId="0" fillId="35" borderId="10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>
      <alignment horizontal="left" vertical="center"/>
    </xf>
    <xf numFmtId="177" fontId="0" fillId="33" borderId="10" xfId="0" applyNumberFormat="1" applyFont="1" applyFill="1" applyBorder="1" applyAlignment="1">
      <alignment vertical="center"/>
    </xf>
    <xf numFmtId="0" fontId="0" fillId="34" borderId="19" xfId="0" applyNumberFormat="1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19" xfId="0" applyNumberFormat="1" applyFont="1" applyBorder="1" applyAlignment="1">
      <alignment horizontal="centerContinuous" vertical="center"/>
    </xf>
    <xf numFmtId="0" fontId="5" fillId="0" borderId="19" xfId="0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0" fillId="34" borderId="14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176" fontId="0" fillId="34" borderId="0" xfId="0" applyNumberFormat="1" applyFont="1" applyFill="1" applyAlignment="1">
      <alignment horizontal="center" vertical="center"/>
    </xf>
    <xf numFmtId="0" fontId="0" fillId="0" borderId="14" xfId="0" applyNumberFormat="1" applyFont="1" applyBorder="1" applyAlignment="1">
      <alignment horizontal="right" vertical="center"/>
    </xf>
    <xf numFmtId="2" fontId="0" fillId="33" borderId="1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21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NumberFormat="1" applyBorder="1" applyAlignment="1">
      <alignment vertical="center"/>
    </xf>
    <xf numFmtId="176" fontId="0" fillId="34" borderId="20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vertical="center"/>
    </xf>
    <xf numFmtId="0" fontId="0" fillId="34" borderId="13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4" borderId="10" xfId="0" applyNumberFormat="1" applyFont="1" applyFill="1" applyBorder="1" applyAlignment="1">
      <alignment vertical="center"/>
    </xf>
    <xf numFmtId="0" fontId="0" fillId="34" borderId="14" xfId="0" applyNumberFormat="1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4" xfId="0" applyNumberFormat="1" applyFont="1" applyFill="1" applyBorder="1" applyAlignment="1">
      <alignment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34" borderId="0" xfId="0" applyNumberFormat="1" applyFont="1" applyFill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0" xfId="0" applyNumberFormat="1" applyFont="1" applyFill="1" applyAlignment="1">
      <alignment horizontal="center" vertical="center"/>
    </xf>
    <xf numFmtId="0" fontId="0" fillId="34" borderId="10" xfId="0" applyNumberFormat="1" applyFont="1" applyFill="1" applyBorder="1" applyAlignment="1">
      <alignment vertical="center"/>
    </xf>
    <xf numFmtId="0" fontId="0" fillId="34" borderId="13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vertical="center"/>
    </xf>
    <xf numFmtId="0" fontId="0" fillId="35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/>
    </xf>
    <xf numFmtId="0" fontId="0" fillId="33" borderId="14" xfId="0" applyNumberFormat="1" applyFont="1" applyFill="1" applyBorder="1" applyAlignment="1">
      <alignment vertical="center"/>
    </xf>
    <xf numFmtId="0" fontId="0" fillId="33" borderId="14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23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1" fontId="4" fillId="35" borderId="10" xfId="0" applyNumberFormat="1" applyFont="1" applyFill="1" applyBorder="1" applyAlignment="1">
      <alignment horizontal="centerContinuous" vertical="center"/>
    </xf>
    <xf numFmtId="0" fontId="0" fillId="34" borderId="14" xfId="0" applyNumberFormat="1" applyFont="1" applyFill="1" applyBorder="1" applyAlignment="1">
      <alignment horizontal="centerContinuous" vertical="center"/>
    </xf>
    <xf numFmtId="1" fontId="0" fillId="35" borderId="10" xfId="0" applyNumberFormat="1" applyFont="1" applyFill="1" applyBorder="1" applyAlignment="1">
      <alignment horizontal="centerContinuous" vertical="center"/>
    </xf>
    <xf numFmtId="0" fontId="0" fillId="34" borderId="13" xfId="0" applyNumberFormat="1" applyFont="1" applyFill="1" applyBorder="1" applyAlignment="1">
      <alignment horizontal="centerContinuous" vertical="center"/>
    </xf>
    <xf numFmtId="176" fontId="0" fillId="34" borderId="14" xfId="0" applyNumberFormat="1" applyFont="1" applyFill="1" applyBorder="1" applyAlignment="1">
      <alignment horizontal="centerContinuous" vertical="center"/>
    </xf>
    <xf numFmtId="0" fontId="0" fillId="34" borderId="0" xfId="0" applyNumberFormat="1" applyFont="1" applyFill="1" applyAlignment="1">
      <alignment horizontal="centerContinuous" vertical="center"/>
    </xf>
    <xf numFmtId="176" fontId="0" fillId="33" borderId="10" xfId="0" applyNumberFormat="1" applyFont="1" applyFill="1" applyBorder="1" applyAlignment="1">
      <alignment horizontal="centerContinuous" vertical="center"/>
    </xf>
    <xf numFmtId="176" fontId="0" fillId="33" borderId="14" xfId="0" applyNumberFormat="1" applyFont="1" applyFill="1" applyBorder="1" applyAlignment="1">
      <alignment horizontal="centerContinuous" vertical="center"/>
    </xf>
    <xf numFmtId="0" fontId="0" fillId="33" borderId="14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35" borderId="10" xfId="0" applyNumberFormat="1" applyFont="1" applyFill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34" borderId="10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35" borderId="10" xfId="0" applyNumberFormat="1" applyFont="1" applyFill="1" applyBorder="1" applyAlignment="1">
      <alignment horizontal="centerContinuous" vertical="center"/>
    </xf>
    <xf numFmtId="0" fontId="0" fillId="35" borderId="14" xfId="0" applyNumberFormat="1" applyFont="1" applyFill="1" applyBorder="1" applyAlignment="1">
      <alignment horizontal="centerContinuous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horizontal="centerContinuous" vertical="center"/>
    </xf>
    <xf numFmtId="0" fontId="6" fillId="0" borderId="19" xfId="0" applyFont="1" applyBorder="1" applyAlignment="1">
      <alignment vertical="center"/>
    </xf>
    <xf numFmtId="0" fontId="0" fillId="0" borderId="19" xfId="0" applyNumberFormat="1" applyFont="1" applyBorder="1" applyAlignment="1">
      <alignment horizontal="centerContinuous" vertical="center"/>
    </xf>
    <xf numFmtId="0" fontId="0" fillId="0" borderId="19" xfId="0" applyNumberFormat="1" applyFont="1" applyBorder="1" applyAlignment="1">
      <alignment horizontal="centerContinuous" vertical="center"/>
    </xf>
    <xf numFmtId="0" fontId="0" fillId="35" borderId="23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vertical="center"/>
    </xf>
    <xf numFmtId="0" fontId="0" fillId="34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forum-design.co.jp/" TargetMode="External" /><Relationship Id="rId3" Type="http://schemas.openxmlformats.org/officeDocument/2006/relationships/hyperlink" Target="http://www.forum-design.co.jp/" TargetMode="External" /><Relationship Id="rId4" Type="http://schemas.openxmlformats.org/officeDocument/2006/relationships/image" Target="../media/image5.bmp" /><Relationship Id="rId5" Type="http://schemas.openxmlformats.org/officeDocument/2006/relationships/image" Target="../media/image6.bmp" /><Relationship Id="rId6" Type="http://schemas.openxmlformats.org/officeDocument/2006/relationships/image" Target="../media/image7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21</xdr:row>
      <xdr:rowOff>28575</xdr:rowOff>
    </xdr:from>
    <xdr:to>
      <xdr:col>3</xdr:col>
      <xdr:colOff>28575</xdr:colOff>
      <xdr:row>22</xdr:row>
      <xdr:rowOff>180975</xdr:rowOff>
    </xdr:to>
    <xdr:grpSp>
      <xdr:nvGrpSpPr>
        <xdr:cNvPr id="1" name="Group 42"/>
        <xdr:cNvGrpSpPr>
          <a:grpSpLocks/>
        </xdr:cNvGrpSpPr>
      </xdr:nvGrpSpPr>
      <xdr:grpSpPr>
        <a:xfrm>
          <a:off x="561975" y="6200775"/>
          <a:ext cx="781050" cy="352425"/>
          <a:chOff x="54" y="459"/>
          <a:chExt cx="82" cy="37"/>
        </a:xfrm>
        <a:solidFill>
          <a:srgbClr val="FFFFFF"/>
        </a:solidFill>
      </xdr:grpSpPr>
      <xdr:sp>
        <xdr:nvSpPr>
          <xdr:cNvPr id="2" name="Rectangle 12"/>
          <xdr:cNvSpPr>
            <a:spLocks/>
          </xdr:cNvSpPr>
        </xdr:nvSpPr>
        <xdr:spPr>
          <a:xfrm>
            <a:off x="54" y="461"/>
            <a:ext cx="37" cy="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3"/>
          <xdr:cNvSpPr>
            <a:spLocks/>
          </xdr:cNvSpPr>
        </xdr:nvSpPr>
        <xdr:spPr>
          <a:xfrm>
            <a:off x="115" y="461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4"/>
          <xdr:cNvSpPr>
            <a:spLocks/>
          </xdr:cNvSpPr>
        </xdr:nvSpPr>
        <xdr:spPr>
          <a:xfrm>
            <a:off x="114" y="468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5"/>
          <xdr:cNvSpPr>
            <a:spLocks/>
          </xdr:cNvSpPr>
        </xdr:nvSpPr>
        <xdr:spPr>
          <a:xfrm>
            <a:off x="129" y="45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6"/>
          <xdr:cNvSpPr>
            <a:spLocks/>
          </xdr:cNvSpPr>
        </xdr:nvSpPr>
        <xdr:spPr>
          <a:xfrm flipH="1">
            <a:off x="103" y="466"/>
            <a:ext cx="2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39</xdr:row>
      <xdr:rowOff>161925</xdr:rowOff>
    </xdr:from>
    <xdr:to>
      <xdr:col>2</xdr:col>
      <xdr:colOff>361950</xdr:colOff>
      <xdr:row>43</xdr:row>
      <xdr:rowOff>76200</xdr:rowOff>
    </xdr:to>
    <xdr:grpSp>
      <xdr:nvGrpSpPr>
        <xdr:cNvPr id="7" name="Group 44"/>
        <xdr:cNvGrpSpPr>
          <a:grpSpLocks/>
        </xdr:cNvGrpSpPr>
      </xdr:nvGrpSpPr>
      <xdr:grpSpPr>
        <a:xfrm>
          <a:off x="466725" y="9934575"/>
          <a:ext cx="771525" cy="714375"/>
          <a:chOff x="50" y="855"/>
          <a:chExt cx="81" cy="75"/>
        </a:xfrm>
        <a:solidFill>
          <a:srgbClr val="FFFFFF"/>
        </a:solidFill>
      </xdr:grpSpPr>
      <xdr:sp>
        <xdr:nvSpPr>
          <xdr:cNvPr id="8" name="Rectangle 17"/>
          <xdr:cNvSpPr>
            <a:spLocks/>
          </xdr:cNvSpPr>
        </xdr:nvSpPr>
        <xdr:spPr>
          <a:xfrm>
            <a:off x="50" y="882"/>
            <a:ext cx="39" cy="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18"/>
          <xdr:cNvSpPr>
            <a:spLocks/>
          </xdr:cNvSpPr>
        </xdr:nvSpPr>
        <xdr:spPr>
          <a:xfrm>
            <a:off x="91" y="925"/>
            <a:ext cx="40" cy="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9"/>
          <xdr:cNvSpPr>
            <a:spLocks/>
          </xdr:cNvSpPr>
        </xdr:nvSpPr>
        <xdr:spPr>
          <a:xfrm>
            <a:off x="89" y="882"/>
            <a:ext cx="3" cy="4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90" y="855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95" y="855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>
            <a:off x="87" y="861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3"/>
          <xdr:cNvSpPr>
            <a:spLocks/>
          </xdr:cNvSpPr>
        </xdr:nvSpPr>
        <xdr:spPr>
          <a:xfrm>
            <a:off x="67" y="882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4"/>
          <xdr:cNvSpPr>
            <a:spLocks/>
          </xdr:cNvSpPr>
        </xdr:nvSpPr>
        <xdr:spPr>
          <a:xfrm>
            <a:off x="65" y="930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27</xdr:row>
      <xdr:rowOff>142875</xdr:rowOff>
    </xdr:from>
    <xdr:to>
      <xdr:col>4</xdr:col>
      <xdr:colOff>304800</xdr:colOff>
      <xdr:row>31</xdr:row>
      <xdr:rowOff>66675</xdr:rowOff>
    </xdr:to>
    <xdr:grpSp>
      <xdr:nvGrpSpPr>
        <xdr:cNvPr id="16" name="Group 43"/>
        <xdr:cNvGrpSpPr>
          <a:grpSpLocks/>
        </xdr:cNvGrpSpPr>
      </xdr:nvGrpSpPr>
      <xdr:grpSpPr>
        <a:xfrm>
          <a:off x="942975" y="7515225"/>
          <a:ext cx="1114425" cy="723900"/>
          <a:chOff x="91" y="595"/>
          <a:chExt cx="117" cy="76"/>
        </a:xfrm>
        <a:solidFill>
          <a:srgbClr val="FFFFFF"/>
        </a:solidFill>
      </xdr:grpSpPr>
      <xdr:sp>
        <xdr:nvSpPr>
          <xdr:cNvPr id="17" name="Line 4"/>
          <xdr:cNvSpPr>
            <a:spLocks/>
          </xdr:cNvSpPr>
        </xdr:nvSpPr>
        <xdr:spPr>
          <a:xfrm flipV="1">
            <a:off x="175" y="595"/>
            <a:ext cx="33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5"/>
          <xdr:cNvSpPr>
            <a:spLocks/>
          </xdr:cNvSpPr>
        </xdr:nvSpPr>
        <xdr:spPr>
          <a:xfrm>
            <a:off x="91" y="60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6"/>
          <xdr:cNvSpPr>
            <a:spLocks/>
          </xdr:cNvSpPr>
        </xdr:nvSpPr>
        <xdr:spPr>
          <a:xfrm>
            <a:off x="91" y="62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7"/>
          <xdr:cNvSpPr>
            <a:spLocks/>
          </xdr:cNvSpPr>
        </xdr:nvSpPr>
        <xdr:spPr>
          <a:xfrm>
            <a:off x="134" y="643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8"/>
          <xdr:cNvSpPr>
            <a:spLocks/>
          </xdr:cNvSpPr>
        </xdr:nvSpPr>
        <xdr:spPr>
          <a:xfrm>
            <a:off x="175" y="640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9"/>
          <xdr:cNvSpPr>
            <a:spLocks/>
          </xdr:cNvSpPr>
        </xdr:nvSpPr>
        <xdr:spPr>
          <a:xfrm>
            <a:off x="133" y="666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10"/>
          <xdr:cNvSpPr>
            <a:spLocks/>
          </xdr:cNvSpPr>
        </xdr:nvSpPr>
        <xdr:spPr>
          <a:xfrm>
            <a:off x="94" y="600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Rectangle 11" descr="10%"/>
          <xdr:cNvSpPr>
            <a:spLocks/>
          </xdr:cNvSpPr>
        </xdr:nvSpPr>
        <xdr:spPr>
          <a:xfrm>
            <a:off x="136" y="605"/>
            <a:ext cx="38" cy="19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31" y="604"/>
            <a:ext cx="4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176" y="604"/>
            <a:ext cx="5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131" y="625"/>
            <a:ext cx="48" cy="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47</xdr:row>
      <xdr:rowOff>133350</xdr:rowOff>
    </xdr:from>
    <xdr:to>
      <xdr:col>4</xdr:col>
      <xdr:colOff>9525</xdr:colOff>
      <xdr:row>52</xdr:row>
      <xdr:rowOff>28575</xdr:rowOff>
    </xdr:to>
    <xdr:grpSp>
      <xdr:nvGrpSpPr>
        <xdr:cNvPr id="28" name="Group 45"/>
        <xdr:cNvGrpSpPr>
          <a:grpSpLocks/>
        </xdr:cNvGrpSpPr>
      </xdr:nvGrpSpPr>
      <xdr:grpSpPr>
        <a:xfrm>
          <a:off x="542925" y="11506200"/>
          <a:ext cx="1219200" cy="895350"/>
          <a:chOff x="56" y="1029"/>
          <a:chExt cx="128" cy="94"/>
        </a:xfrm>
        <a:solidFill>
          <a:srgbClr val="FFFFFF"/>
        </a:solidFill>
      </xdr:grpSpPr>
      <xdr:sp>
        <xdr:nvSpPr>
          <xdr:cNvPr id="29" name="Rectangle 28"/>
          <xdr:cNvSpPr>
            <a:spLocks/>
          </xdr:cNvSpPr>
        </xdr:nvSpPr>
        <xdr:spPr>
          <a:xfrm>
            <a:off x="91" y="1033"/>
            <a:ext cx="4" cy="4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Rectangle 29"/>
          <xdr:cNvSpPr>
            <a:spLocks/>
          </xdr:cNvSpPr>
        </xdr:nvSpPr>
        <xdr:spPr>
          <a:xfrm>
            <a:off x="56" y="1030"/>
            <a:ext cx="40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Rectangle 30"/>
          <xdr:cNvSpPr>
            <a:spLocks/>
          </xdr:cNvSpPr>
        </xdr:nvSpPr>
        <xdr:spPr>
          <a:xfrm>
            <a:off x="91" y="1073"/>
            <a:ext cx="40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Rectangle 31"/>
          <xdr:cNvSpPr>
            <a:spLocks/>
          </xdr:cNvSpPr>
        </xdr:nvSpPr>
        <xdr:spPr>
          <a:xfrm>
            <a:off x="94" y="1072"/>
            <a:ext cx="18" cy="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Rectangle 32"/>
          <xdr:cNvSpPr>
            <a:spLocks/>
          </xdr:cNvSpPr>
        </xdr:nvSpPr>
        <xdr:spPr>
          <a:xfrm>
            <a:off x="72" y="1030"/>
            <a:ext cx="20" cy="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3"/>
          <xdr:cNvSpPr>
            <a:spLocks/>
          </xdr:cNvSpPr>
        </xdr:nvSpPr>
        <xdr:spPr>
          <a:xfrm>
            <a:off x="105" y="1033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4"/>
          <xdr:cNvSpPr>
            <a:spLocks/>
          </xdr:cNvSpPr>
        </xdr:nvSpPr>
        <xdr:spPr>
          <a:xfrm>
            <a:off x="108" y="1078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5"/>
          <xdr:cNvSpPr>
            <a:spLocks/>
          </xdr:cNvSpPr>
        </xdr:nvSpPr>
        <xdr:spPr>
          <a:xfrm>
            <a:off x="175" y="1029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6"/>
          <xdr:cNvSpPr>
            <a:spLocks/>
          </xdr:cNvSpPr>
        </xdr:nvSpPr>
        <xdr:spPr>
          <a:xfrm>
            <a:off x="91" y="1087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37"/>
          <xdr:cNvSpPr>
            <a:spLocks/>
          </xdr:cNvSpPr>
        </xdr:nvSpPr>
        <xdr:spPr>
          <a:xfrm>
            <a:off x="129" y="1090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8"/>
          <xdr:cNvSpPr>
            <a:spLocks/>
          </xdr:cNvSpPr>
        </xdr:nvSpPr>
        <xdr:spPr>
          <a:xfrm>
            <a:off x="88" y="1118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39"/>
          <xdr:cNvSpPr>
            <a:spLocks/>
          </xdr:cNvSpPr>
        </xdr:nvSpPr>
        <xdr:spPr>
          <a:xfrm>
            <a:off x="111" y="1069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0"/>
          <xdr:cNvSpPr>
            <a:spLocks/>
          </xdr:cNvSpPr>
        </xdr:nvSpPr>
        <xdr:spPr>
          <a:xfrm>
            <a:off x="88" y="1097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1"/>
          <xdr:cNvSpPr>
            <a:spLocks/>
          </xdr:cNvSpPr>
        </xdr:nvSpPr>
        <xdr:spPr>
          <a:xfrm flipH="1">
            <a:off x="78" y="1097"/>
            <a:ext cx="2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85725</xdr:colOff>
      <xdr:row>2</xdr:row>
      <xdr:rowOff>47625</xdr:rowOff>
    </xdr:from>
    <xdr:to>
      <xdr:col>8</xdr:col>
      <xdr:colOff>104775</xdr:colOff>
      <xdr:row>7</xdr:row>
      <xdr:rowOff>190500</xdr:rowOff>
    </xdr:to>
    <xdr:grpSp>
      <xdr:nvGrpSpPr>
        <xdr:cNvPr id="43" name="Group 62"/>
        <xdr:cNvGrpSpPr>
          <a:grpSpLocks/>
        </xdr:cNvGrpSpPr>
      </xdr:nvGrpSpPr>
      <xdr:grpSpPr>
        <a:xfrm>
          <a:off x="1838325" y="2343150"/>
          <a:ext cx="1771650" cy="1143000"/>
          <a:chOff x="193" y="62"/>
          <a:chExt cx="186" cy="120"/>
        </a:xfrm>
        <a:solidFill>
          <a:srgbClr val="FFFFFF"/>
        </a:solidFill>
      </xdr:grpSpPr>
      <xdr:sp>
        <xdr:nvSpPr>
          <xdr:cNvPr id="44" name="AutoShape 47"/>
          <xdr:cNvSpPr>
            <a:spLocks noChangeAspect="1"/>
          </xdr:cNvSpPr>
        </xdr:nvSpPr>
        <xdr:spPr>
          <a:xfrm>
            <a:off x="193" y="62"/>
            <a:ext cx="186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9"/>
          <xdr:cNvSpPr>
            <a:spLocks/>
          </xdr:cNvSpPr>
        </xdr:nvSpPr>
        <xdr:spPr>
          <a:xfrm>
            <a:off x="199" y="181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50"/>
          <xdr:cNvSpPr>
            <a:spLocks/>
          </xdr:cNvSpPr>
        </xdr:nvSpPr>
        <xdr:spPr>
          <a:xfrm>
            <a:off x="201" y="16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51"/>
          <xdr:cNvSpPr>
            <a:spLocks/>
          </xdr:cNvSpPr>
        </xdr:nvSpPr>
        <xdr:spPr>
          <a:xfrm>
            <a:off x="328" y="16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52"/>
          <xdr:cNvSpPr>
            <a:spLocks/>
          </xdr:cNvSpPr>
        </xdr:nvSpPr>
        <xdr:spPr>
          <a:xfrm>
            <a:off x="299" y="63"/>
            <a:ext cx="73" cy="26"/>
          </a:xfrm>
          <a:custGeom>
            <a:pathLst>
              <a:path h="26" w="73">
                <a:moveTo>
                  <a:pt x="0" y="26"/>
                </a:moveTo>
                <a:lnTo>
                  <a:pt x="39" y="0"/>
                </a:lnTo>
                <a:lnTo>
                  <a:pt x="73" y="18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3"/>
          <xdr:cNvSpPr>
            <a:spLocks/>
          </xdr:cNvSpPr>
        </xdr:nvSpPr>
        <xdr:spPr>
          <a:xfrm>
            <a:off x="363" y="72"/>
            <a:ext cx="15" cy="13"/>
          </a:xfrm>
          <a:custGeom>
            <a:pathLst>
              <a:path h="13" w="15">
                <a:moveTo>
                  <a:pt x="15" y="13"/>
                </a:moveTo>
                <a:lnTo>
                  <a:pt x="6" y="0"/>
                </a:lnTo>
                <a:lnTo>
                  <a:pt x="0" y="13"/>
                </a:lnTo>
                <a:lnTo>
                  <a:pt x="15" y="1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Rectangle 54"/>
          <xdr:cNvSpPr>
            <a:spLocks/>
          </xdr:cNvSpPr>
        </xdr:nvSpPr>
        <xdr:spPr>
          <a:xfrm>
            <a:off x="200" y="78"/>
            <a:ext cx="127" cy="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5"/>
          <xdr:cNvSpPr>
            <a:spLocks/>
          </xdr:cNvSpPr>
        </xdr:nvSpPr>
        <xdr:spPr>
          <a:xfrm>
            <a:off x="243" y="78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6"/>
          <xdr:cNvSpPr>
            <a:spLocks/>
          </xdr:cNvSpPr>
        </xdr:nvSpPr>
        <xdr:spPr>
          <a:xfrm>
            <a:off x="236" y="82"/>
            <a:ext cx="13" cy="14"/>
          </a:xfrm>
          <a:custGeom>
            <a:pathLst>
              <a:path h="14" w="13">
                <a:moveTo>
                  <a:pt x="7" y="14"/>
                </a:moveTo>
                <a:lnTo>
                  <a:pt x="13" y="0"/>
                </a:lnTo>
                <a:lnTo>
                  <a:pt x="0" y="0"/>
                </a:lnTo>
                <a:lnTo>
                  <a:pt x="7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57"/>
          <xdr:cNvSpPr>
            <a:spLocks/>
          </xdr:cNvSpPr>
        </xdr:nvSpPr>
        <xdr:spPr>
          <a:xfrm>
            <a:off x="287" y="7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58"/>
          <xdr:cNvSpPr>
            <a:spLocks/>
          </xdr:cNvSpPr>
        </xdr:nvSpPr>
        <xdr:spPr>
          <a:xfrm>
            <a:off x="281" y="84"/>
            <a:ext cx="12" cy="13"/>
          </a:xfrm>
          <a:custGeom>
            <a:pathLst>
              <a:path h="13" w="12">
                <a:moveTo>
                  <a:pt x="6" y="13"/>
                </a:moveTo>
                <a:lnTo>
                  <a:pt x="12" y="0"/>
                </a:lnTo>
                <a:lnTo>
                  <a:pt x="0" y="0"/>
                </a:lnTo>
                <a:lnTo>
                  <a:pt x="6" y="1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59"/>
          <xdr:cNvSpPr>
            <a:spLocks/>
          </xdr:cNvSpPr>
        </xdr:nvSpPr>
        <xdr:spPr>
          <a:xfrm>
            <a:off x="195" y="136"/>
            <a:ext cx="13" cy="13"/>
          </a:xfrm>
          <a:custGeom>
            <a:pathLst>
              <a:path h="13" w="13">
                <a:moveTo>
                  <a:pt x="6" y="1"/>
                </a:moveTo>
                <a:lnTo>
                  <a:pt x="0" y="13"/>
                </a:lnTo>
                <a:lnTo>
                  <a:pt x="13" y="13"/>
                </a:lnTo>
                <a:lnTo>
                  <a:pt x="6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60"/>
          <xdr:cNvSpPr>
            <a:spLocks/>
          </xdr:cNvSpPr>
        </xdr:nvSpPr>
        <xdr:spPr>
          <a:xfrm>
            <a:off x="322" y="138"/>
            <a:ext cx="12" cy="13"/>
          </a:xfrm>
          <a:custGeom>
            <a:pathLst>
              <a:path h="13" w="12">
                <a:moveTo>
                  <a:pt x="6" y="1"/>
                </a:moveTo>
                <a:lnTo>
                  <a:pt x="0" y="13"/>
                </a:lnTo>
                <a:lnTo>
                  <a:pt x="12" y="13"/>
                </a:lnTo>
                <a:lnTo>
                  <a:pt x="6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61"/>
          <xdr:cNvSpPr>
            <a:spLocks/>
          </xdr:cNvSpPr>
        </xdr:nvSpPr>
        <xdr:spPr>
          <a:xfrm>
            <a:off x="199" y="138"/>
            <a:ext cx="1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106</xdr:row>
      <xdr:rowOff>190500</xdr:rowOff>
    </xdr:from>
    <xdr:to>
      <xdr:col>6</xdr:col>
      <xdr:colOff>152400</xdr:colOff>
      <xdr:row>113</xdr:row>
      <xdr:rowOff>180975</xdr:rowOff>
    </xdr:to>
    <xdr:grpSp>
      <xdr:nvGrpSpPr>
        <xdr:cNvPr id="58" name="Group 128"/>
        <xdr:cNvGrpSpPr>
          <a:grpSpLocks/>
        </xdr:cNvGrpSpPr>
      </xdr:nvGrpSpPr>
      <xdr:grpSpPr>
        <a:xfrm>
          <a:off x="1123950" y="23650575"/>
          <a:ext cx="1657350" cy="1390650"/>
          <a:chOff x="118" y="2278"/>
          <a:chExt cx="174" cy="146"/>
        </a:xfrm>
        <a:solidFill>
          <a:srgbClr val="FFFFFF"/>
        </a:solidFill>
      </xdr:grpSpPr>
      <xdr:sp>
        <xdr:nvSpPr>
          <xdr:cNvPr id="59" name="Rectangle 82"/>
          <xdr:cNvSpPr>
            <a:spLocks/>
          </xdr:cNvSpPr>
        </xdr:nvSpPr>
        <xdr:spPr>
          <a:xfrm>
            <a:off x="145" y="2343"/>
            <a:ext cx="128" cy="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Rectangle 83" descr="25%"/>
          <xdr:cNvSpPr>
            <a:spLocks/>
          </xdr:cNvSpPr>
        </xdr:nvSpPr>
        <xdr:spPr>
          <a:xfrm>
            <a:off x="167" y="2350"/>
            <a:ext cx="82" cy="25"/>
          </a:xfrm>
          <a:prstGeom prst="rect">
            <a:avLst/>
          </a:prstGeom>
          <a:pattFill prst="pct2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Rectangle 84"/>
          <xdr:cNvSpPr>
            <a:spLocks/>
          </xdr:cNvSpPr>
        </xdr:nvSpPr>
        <xdr:spPr>
          <a:xfrm>
            <a:off x="273" y="2303"/>
            <a:ext cx="4" cy="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Rectangle 85"/>
          <xdr:cNvSpPr>
            <a:spLocks/>
          </xdr:cNvSpPr>
        </xdr:nvSpPr>
        <xdr:spPr>
          <a:xfrm>
            <a:off x="139" y="2303"/>
            <a:ext cx="5" cy="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86"/>
          <xdr:cNvSpPr>
            <a:spLocks/>
          </xdr:cNvSpPr>
        </xdr:nvSpPr>
        <xdr:spPr>
          <a:xfrm>
            <a:off x="287" y="2316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87"/>
          <xdr:cNvSpPr>
            <a:spLocks/>
          </xdr:cNvSpPr>
        </xdr:nvSpPr>
        <xdr:spPr>
          <a:xfrm>
            <a:off x="279" y="2337"/>
            <a:ext cx="13" cy="14"/>
          </a:xfrm>
          <a:custGeom>
            <a:pathLst>
              <a:path h="14" w="13">
                <a:moveTo>
                  <a:pt x="7" y="14"/>
                </a:moveTo>
                <a:lnTo>
                  <a:pt x="13" y="0"/>
                </a:lnTo>
                <a:lnTo>
                  <a:pt x="0" y="0"/>
                </a:lnTo>
                <a:lnTo>
                  <a:pt x="7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88"/>
          <xdr:cNvSpPr>
            <a:spLocks/>
          </xdr:cNvSpPr>
        </xdr:nvSpPr>
        <xdr:spPr>
          <a:xfrm>
            <a:off x="126" y="2308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89"/>
          <xdr:cNvSpPr>
            <a:spLocks/>
          </xdr:cNvSpPr>
        </xdr:nvSpPr>
        <xdr:spPr>
          <a:xfrm>
            <a:off x="118" y="2330"/>
            <a:ext cx="13" cy="13"/>
          </a:xfrm>
          <a:custGeom>
            <a:pathLst>
              <a:path h="13" w="13">
                <a:moveTo>
                  <a:pt x="7" y="13"/>
                </a:moveTo>
                <a:lnTo>
                  <a:pt x="13" y="0"/>
                </a:lnTo>
                <a:lnTo>
                  <a:pt x="0" y="0"/>
                </a:lnTo>
                <a:lnTo>
                  <a:pt x="7" y="1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90"/>
          <xdr:cNvSpPr>
            <a:spLocks/>
          </xdr:cNvSpPr>
        </xdr:nvSpPr>
        <xdr:spPr>
          <a:xfrm>
            <a:off x="273" y="2383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91"/>
          <xdr:cNvSpPr>
            <a:spLocks/>
          </xdr:cNvSpPr>
        </xdr:nvSpPr>
        <xdr:spPr>
          <a:xfrm>
            <a:off x="231" y="2380"/>
            <a:ext cx="0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92"/>
          <xdr:cNvSpPr>
            <a:spLocks/>
          </xdr:cNvSpPr>
        </xdr:nvSpPr>
        <xdr:spPr>
          <a:xfrm>
            <a:off x="227" y="2415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93"/>
          <xdr:cNvSpPr>
            <a:spLocks/>
          </xdr:cNvSpPr>
        </xdr:nvSpPr>
        <xdr:spPr>
          <a:xfrm>
            <a:off x="250" y="2278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94"/>
          <xdr:cNvSpPr>
            <a:spLocks/>
          </xdr:cNvSpPr>
        </xdr:nvSpPr>
        <xdr:spPr>
          <a:xfrm>
            <a:off x="274" y="2282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95"/>
          <xdr:cNvSpPr>
            <a:spLocks/>
          </xdr:cNvSpPr>
        </xdr:nvSpPr>
        <xdr:spPr>
          <a:xfrm>
            <a:off x="243" y="2286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Rectangle 96"/>
          <xdr:cNvSpPr>
            <a:spLocks/>
          </xdr:cNvSpPr>
        </xdr:nvSpPr>
        <xdr:spPr>
          <a:xfrm>
            <a:off x="146" y="2374"/>
            <a:ext cx="128" cy="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97"/>
          <xdr:cNvSpPr>
            <a:spLocks/>
          </xdr:cNvSpPr>
        </xdr:nvSpPr>
        <xdr:spPr>
          <a:xfrm flipH="1">
            <a:off x="149" y="2378"/>
            <a:ext cx="13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111"/>
          <xdr:cNvSpPr>
            <a:spLocks/>
          </xdr:cNvSpPr>
        </xdr:nvSpPr>
        <xdr:spPr>
          <a:xfrm>
            <a:off x="186" y="2307"/>
            <a:ext cx="26" cy="103"/>
          </a:xfrm>
          <a:custGeom>
            <a:pathLst>
              <a:path h="103" w="26">
                <a:moveTo>
                  <a:pt x="1" y="103"/>
                </a:moveTo>
                <a:lnTo>
                  <a:pt x="1" y="0"/>
                </a:lnTo>
                <a:lnTo>
                  <a:pt x="26" y="0"/>
                </a:lnTo>
                <a:lnTo>
                  <a:pt x="0" y="8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74</xdr:row>
      <xdr:rowOff>123825</xdr:rowOff>
    </xdr:from>
    <xdr:to>
      <xdr:col>1</xdr:col>
      <xdr:colOff>371475</xdr:colOff>
      <xdr:row>77</xdr:row>
      <xdr:rowOff>28575</xdr:rowOff>
    </xdr:to>
    <xdr:grpSp>
      <xdr:nvGrpSpPr>
        <xdr:cNvPr id="76" name="Group 134"/>
        <xdr:cNvGrpSpPr>
          <a:grpSpLocks/>
        </xdr:cNvGrpSpPr>
      </xdr:nvGrpSpPr>
      <xdr:grpSpPr>
        <a:xfrm>
          <a:off x="495300" y="17040225"/>
          <a:ext cx="314325" cy="504825"/>
          <a:chOff x="52" y="1605"/>
          <a:chExt cx="33" cy="53"/>
        </a:xfrm>
        <a:solidFill>
          <a:srgbClr val="FFFFFF"/>
        </a:solidFill>
      </xdr:grpSpPr>
      <xdr:sp>
        <xdr:nvSpPr>
          <xdr:cNvPr id="77" name="Rectangle 113"/>
          <xdr:cNvSpPr>
            <a:spLocks/>
          </xdr:cNvSpPr>
        </xdr:nvSpPr>
        <xdr:spPr>
          <a:xfrm>
            <a:off x="80" y="1608"/>
            <a:ext cx="5" cy="4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114"/>
          <xdr:cNvSpPr>
            <a:spLocks/>
          </xdr:cNvSpPr>
        </xdr:nvSpPr>
        <xdr:spPr>
          <a:xfrm>
            <a:off x="53" y="160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115"/>
          <xdr:cNvSpPr>
            <a:spLocks/>
          </xdr:cNvSpPr>
        </xdr:nvSpPr>
        <xdr:spPr>
          <a:xfrm>
            <a:off x="52" y="165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116"/>
          <xdr:cNvSpPr>
            <a:spLocks/>
          </xdr:cNvSpPr>
        </xdr:nvSpPr>
        <xdr:spPr>
          <a:xfrm>
            <a:off x="57" y="1605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257175</xdr:colOff>
      <xdr:row>84</xdr:row>
      <xdr:rowOff>19050</xdr:rowOff>
    </xdr:from>
    <xdr:to>
      <xdr:col>3</xdr:col>
      <xdr:colOff>0</xdr:colOff>
      <xdr:row>86</xdr:row>
      <xdr:rowOff>47625</xdr:rowOff>
    </xdr:to>
    <xdr:grpSp>
      <xdr:nvGrpSpPr>
        <xdr:cNvPr id="81" name="Group 133"/>
        <xdr:cNvGrpSpPr>
          <a:grpSpLocks/>
        </xdr:cNvGrpSpPr>
      </xdr:nvGrpSpPr>
      <xdr:grpSpPr>
        <a:xfrm>
          <a:off x="1133475" y="18935700"/>
          <a:ext cx="180975" cy="428625"/>
          <a:chOff x="119" y="1804"/>
          <a:chExt cx="19" cy="45"/>
        </a:xfrm>
        <a:solidFill>
          <a:srgbClr val="FFFFFF"/>
        </a:solidFill>
      </xdr:grpSpPr>
      <xdr:sp>
        <xdr:nvSpPr>
          <xdr:cNvPr id="82" name="Rectangle 117"/>
          <xdr:cNvSpPr>
            <a:spLocks/>
          </xdr:cNvSpPr>
        </xdr:nvSpPr>
        <xdr:spPr>
          <a:xfrm>
            <a:off x="119" y="1804"/>
            <a:ext cx="19" cy="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Rectangle 118"/>
          <xdr:cNvSpPr>
            <a:spLocks/>
          </xdr:cNvSpPr>
        </xdr:nvSpPr>
        <xdr:spPr>
          <a:xfrm>
            <a:off x="119" y="1804"/>
            <a:ext cx="5" cy="4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Rectangle 119"/>
          <xdr:cNvSpPr>
            <a:spLocks/>
          </xdr:cNvSpPr>
        </xdr:nvSpPr>
        <xdr:spPr>
          <a:xfrm>
            <a:off x="119" y="1844"/>
            <a:ext cx="19" cy="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238125</xdr:colOff>
      <xdr:row>61</xdr:row>
      <xdr:rowOff>9525</xdr:rowOff>
    </xdr:from>
    <xdr:to>
      <xdr:col>5</xdr:col>
      <xdr:colOff>228600</xdr:colOff>
      <xdr:row>67</xdr:row>
      <xdr:rowOff>161925</xdr:rowOff>
    </xdr:to>
    <xdr:grpSp>
      <xdr:nvGrpSpPr>
        <xdr:cNvPr id="85" name="Group 135"/>
        <xdr:cNvGrpSpPr>
          <a:grpSpLocks/>
        </xdr:cNvGrpSpPr>
      </xdr:nvGrpSpPr>
      <xdr:grpSpPr>
        <a:xfrm>
          <a:off x="676275" y="14325600"/>
          <a:ext cx="1743075" cy="1352550"/>
          <a:chOff x="71" y="1320"/>
          <a:chExt cx="183" cy="142"/>
        </a:xfrm>
        <a:solidFill>
          <a:srgbClr val="FFFFFF"/>
        </a:solidFill>
      </xdr:grpSpPr>
      <xdr:sp>
        <xdr:nvSpPr>
          <xdr:cNvPr id="86" name="Freeform 66"/>
          <xdr:cNvSpPr>
            <a:spLocks/>
          </xdr:cNvSpPr>
        </xdr:nvSpPr>
        <xdr:spPr>
          <a:xfrm>
            <a:off x="71" y="1344"/>
            <a:ext cx="13" cy="14"/>
          </a:xfrm>
          <a:custGeom>
            <a:pathLst>
              <a:path h="14" w="13">
                <a:moveTo>
                  <a:pt x="6" y="1"/>
                </a:moveTo>
                <a:lnTo>
                  <a:pt x="0" y="14"/>
                </a:lnTo>
                <a:lnTo>
                  <a:pt x="13" y="14"/>
                </a:lnTo>
                <a:lnTo>
                  <a:pt x="6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Rectangle 68"/>
          <xdr:cNvSpPr>
            <a:spLocks/>
          </xdr:cNvSpPr>
        </xdr:nvSpPr>
        <xdr:spPr>
          <a:xfrm>
            <a:off x="77" y="1320"/>
            <a:ext cx="169" cy="1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120"/>
          <xdr:cNvSpPr>
            <a:spLocks/>
          </xdr:cNvSpPr>
        </xdr:nvSpPr>
        <xdr:spPr>
          <a:xfrm>
            <a:off x="241" y="1448"/>
            <a:ext cx="13" cy="14"/>
          </a:xfrm>
          <a:custGeom>
            <a:pathLst>
              <a:path h="14" w="13">
                <a:moveTo>
                  <a:pt x="6" y="1"/>
                </a:moveTo>
                <a:lnTo>
                  <a:pt x="0" y="14"/>
                </a:lnTo>
                <a:lnTo>
                  <a:pt x="13" y="14"/>
                </a:lnTo>
                <a:lnTo>
                  <a:pt x="6" y="0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121"/>
          <xdr:cNvSpPr>
            <a:spLocks/>
          </xdr:cNvSpPr>
        </xdr:nvSpPr>
        <xdr:spPr>
          <a:xfrm>
            <a:off x="77" y="1345"/>
            <a:ext cx="4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22"/>
          <xdr:cNvSpPr>
            <a:spLocks/>
          </xdr:cNvSpPr>
        </xdr:nvSpPr>
        <xdr:spPr>
          <a:xfrm>
            <a:off x="124" y="1345"/>
            <a:ext cx="123" cy="10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Line 123"/>
          <xdr:cNvSpPr>
            <a:spLocks/>
          </xdr:cNvSpPr>
        </xdr:nvSpPr>
        <xdr:spPr>
          <a:xfrm>
            <a:off x="92" y="132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Line 124"/>
          <xdr:cNvSpPr>
            <a:spLocks/>
          </xdr:cNvSpPr>
        </xdr:nvSpPr>
        <xdr:spPr>
          <a:xfrm>
            <a:off x="122" y="132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125"/>
          <xdr:cNvSpPr>
            <a:spLocks/>
          </xdr:cNvSpPr>
        </xdr:nvSpPr>
        <xdr:spPr>
          <a:xfrm>
            <a:off x="158" y="132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126"/>
          <xdr:cNvSpPr>
            <a:spLocks/>
          </xdr:cNvSpPr>
        </xdr:nvSpPr>
        <xdr:spPr>
          <a:xfrm>
            <a:off x="186" y="132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27"/>
          <xdr:cNvSpPr>
            <a:spLocks/>
          </xdr:cNvSpPr>
        </xdr:nvSpPr>
        <xdr:spPr>
          <a:xfrm>
            <a:off x="217" y="132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142875</xdr:colOff>
      <xdr:row>125</xdr:row>
      <xdr:rowOff>123825</xdr:rowOff>
    </xdr:from>
    <xdr:to>
      <xdr:col>4</xdr:col>
      <xdr:colOff>304800</xdr:colOff>
      <xdr:row>131</xdr:row>
      <xdr:rowOff>38100</xdr:rowOff>
    </xdr:to>
    <xdr:grpSp>
      <xdr:nvGrpSpPr>
        <xdr:cNvPr id="96" name="Group 132"/>
        <xdr:cNvGrpSpPr>
          <a:grpSpLocks/>
        </xdr:cNvGrpSpPr>
      </xdr:nvGrpSpPr>
      <xdr:grpSpPr>
        <a:xfrm>
          <a:off x="1019175" y="27365325"/>
          <a:ext cx="1038225" cy="1114425"/>
          <a:chOff x="107" y="2668"/>
          <a:chExt cx="109" cy="117"/>
        </a:xfrm>
        <a:solidFill>
          <a:srgbClr val="FFFFFF"/>
        </a:solidFill>
      </xdr:grpSpPr>
      <xdr:sp>
        <xdr:nvSpPr>
          <xdr:cNvPr id="97" name="Rectangle 98"/>
          <xdr:cNvSpPr>
            <a:spLocks/>
          </xdr:cNvSpPr>
        </xdr:nvSpPr>
        <xdr:spPr>
          <a:xfrm>
            <a:off x="178" y="2699"/>
            <a:ext cx="10" cy="4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Rectangle 99"/>
          <xdr:cNvSpPr>
            <a:spLocks/>
          </xdr:cNvSpPr>
        </xdr:nvSpPr>
        <xdr:spPr>
          <a:xfrm>
            <a:off x="156" y="2740"/>
            <a:ext cx="54" cy="5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Rectangle 100"/>
          <xdr:cNvSpPr>
            <a:spLocks/>
          </xdr:cNvSpPr>
        </xdr:nvSpPr>
        <xdr:spPr>
          <a:xfrm>
            <a:off x="155" y="2689"/>
            <a:ext cx="54" cy="6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101"/>
          <xdr:cNvSpPr>
            <a:spLocks/>
          </xdr:cNvSpPr>
        </xdr:nvSpPr>
        <xdr:spPr>
          <a:xfrm>
            <a:off x="183" y="2754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Line 102"/>
          <xdr:cNvSpPr>
            <a:spLocks/>
          </xdr:cNvSpPr>
        </xdr:nvSpPr>
        <xdr:spPr>
          <a:xfrm>
            <a:off x="209" y="2759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Line 103"/>
          <xdr:cNvSpPr>
            <a:spLocks/>
          </xdr:cNvSpPr>
        </xdr:nvSpPr>
        <xdr:spPr>
          <a:xfrm>
            <a:off x="177" y="2778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Line 104"/>
          <xdr:cNvSpPr>
            <a:spLocks/>
          </xdr:cNvSpPr>
        </xdr:nvSpPr>
        <xdr:spPr>
          <a:xfrm>
            <a:off x="207" y="266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Freeform 105"/>
          <xdr:cNvSpPr>
            <a:spLocks/>
          </xdr:cNvSpPr>
        </xdr:nvSpPr>
        <xdr:spPr>
          <a:xfrm>
            <a:off x="200" y="2682"/>
            <a:ext cx="13" cy="14"/>
          </a:xfrm>
          <a:custGeom>
            <a:pathLst>
              <a:path h="14" w="13">
                <a:moveTo>
                  <a:pt x="7" y="14"/>
                </a:moveTo>
                <a:lnTo>
                  <a:pt x="13" y="0"/>
                </a:lnTo>
                <a:lnTo>
                  <a:pt x="0" y="0"/>
                </a:lnTo>
                <a:lnTo>
                  <a:pt x="7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Line 106"/>
          <xdr:cNvSpPr>
            <a:spLocks/>
          </xdr:cNvSpPr>
        </xdr:nvSpPr>
        <xdr:spPr>
          <a:xfrm>
            <a:off x="115" y="2691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Line 107"/>
          <xdr:cNvSpPr>
            <a:spLocks/>
          </xdr:cNvSpPr>
        </xdr:nvSpPr>
        <xdr:spPr>
          <a:xfrm>
            <a:off x="115" y="2745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08"/>
          <xdr:cNvSpPr>
            <a:spLocks/>
          </xdr:cNvSpPr>
        </xdr:nvSpPr>
        <xdr:spPr>
          <a:xfrm>
            <a:off x="123" y="2687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109"/>
          <xdr:cNvSpPr>
            <a:spLocks/>
          </xdr:cNvSpPr>
        </xdr:nvSpPr>
        <xdr:spPr>
          <a:xfrm>
            <a:off x="107" y="2678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Freeform 110"/>
          <xdr:cNvSpPr>
            <a:spLocks/>
          </xdr:cNvSpPr>
        </xdr:nvSpPr>
        <xdr:spPr>
          <a:xfrm>
            <a:off x="140" y="2671"/>
            <a:ext cx="13" cy="13"/>
          </a:xfrm>
          <a:custGeom>
            <a:pathLst>
              <a:path h="13" w="13">
                <a:moveTo>
                  <a:pt x="13" y="7"/>
                </a:moveTo>
                <a:lnTo>
                  <a:pt x="0" y="0"/>
                </a:lnTo>
                <a:lnTo>
                  <a:pt x="0" y="13"/>
                </a:lnTo>
                <a:lnTo>
                  <a:pt x="13" y="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Rectangle 129" descr="25%"/>
          <xdr:cNvSpPr>
            <a:spLocks/>
          </xdr:cNvSpPr>
        </xdr:nvSpPr>
        <xdr:spPr>
          <a:xfrm>
            <a:off x="178" y="2696"/>
            <a:ext cx="10" cy="42"/>
          </a:xfrm>
          <a:prstGeom prst="rect">
            <a:avLst/>
          </a:prstGeom>
          <a:pattFill prst="pct2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Rectangle 130" descr="25%"/>
          <xdr:cNvSpPr>
            <a:spLocks/>
          </xdr:cNvSpPr>
        </xdr:nvSpPr>
        <xdr:spPr>
          <a:xfrm>
            <a:off x="156" y="2740"/>
            <a:ext cx="54" cy="5"/>
          </a:xfrm>
          <a:prstGeom prst="rect">
            <a:avLst/>
          </a:prstGeom>
          <a:pattFill prst="pct2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Rectangle 131" descr="25%"/>
          <xdr:cNvSpPr>
            <a:spLocks/>
          </xdr:cNvSpPr>
        </xdr:nvSpPr>
        <xdr:spPr>
          <a:xfrm>
            <a:off x="155" y="2689"/>
            <a:ext cx="54" cy="6"/>
          </a:xfrm>
          <a:prstGeom prst="rect">
            <a:avLst/>
          </a:prstGeom>
          <a:pattFill prst="pct2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266700</xdr:colOff>
      <xdr:row>68</xdr:row>
      <xdr:rowOff>47625</xdr:rowOff>
    </xdr:from>
    <xdr:to>
      <xdr:col>5</xdr:col>
      <xdr:colOff>190500</xdr:colOff>
      <xdr:row>69</xdr:row>
      <xdr:rowOff>104775</xdr:rowOff>
    </xdr:to>
    <xdr:grpSp>
      <xdr:nvGrpSpPr>
        <xdr:cNvPr id="113" name="Group 138"/>
        <xdr:cNvGrpSpPr>
          <a:grpSpLocks/>
        </xdr:cNvGrpSpPr>
      </xdr:nvGrpSpPr>
      <xdr:grpSpPr>
        <a:xfrm>
          <a:off x="704850" y="15763875"/>
          <a:ext cx="1676400" cy="257175"/>
          <a:chOff x="74" y="1471"/>
          <a:chExt cx="176" cy="27"/>
        </a:xfrm>
        <a:solidFill>
          <a:srgbClr val="FFFFFF"/>
        </a:solidFill>
      </xdr:grpSpPr>
      <xdr:sp>
        <xdr:nvSpPr>
          <xdr:cNvPr id="114" name="Line 79"/>
          <xdr:cNvSpPr>
            <a:spLocks/>
          </xdr:cNvSpPr>
        </xdr:nvSpPr>
        <xdr:spPr>
          <a:xfrm>
            <a:off x="77" y="1471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Line 81"/>
          <xdr:cNvSpPr>
            <a:spLocks/>
          </xdr:cNvSpPr>
        </xdr:nvSpPr>
        <xdr:spPr>
          <a:xfrm>
            <a:off x="74" y="1496"/>
            <a:ext cx="1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Line 137"/>
          <xdr:cNvSpPr>
            <a:spLocks/>
          </xdr:cNvSpPr>
        </xdr:nvSpPr>
        <xdr:spPr>
          <a:xfrm>
            <a:off x="247" y="1471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104775</xdr:colOff>
      <xdr:row>0</xdr:row>
      <xdr:rowOff>0</xdr:rowOff>
    </xdr:from>
    <xdr:to>
      <xdr:col>20</xdr:col>
      <xdr:colOff>28575</xdr:colOff>
      <xdr:row>0</xdr:row>
      <xdr:rowOff>1428750</xdr:rowOff>
    </xdr:to>
    <xdr:pic>
      <xdr:nvPicPr>
        <xdr:cNvPr id="117" name="図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74580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43"/>
  <sheetViews>
    <sheetView tabSelected="1" showOutlineSymbols="0" zoomScale="87" zoomScaleNormal="87" zoomScalePageLayoutView="0" workbookViewId="0" topLeftCell="A1">
      <selection activeCell="Z16" sqref="Z16"/>
    </sheetView>
  </sheetViews>
  <sheetFormatPr defaultColWidth="10.75390625" defaultRowHeight="14.25"/>
  <cols>
    <col min="1" max="9" width="5.75390625" style="40" customWidth="1"/>
    <col min="10" max="10" width="4.125" style="40" customWidth="1"/>
    <col min="11" max="13" width="5.75390625" style="40" customWidth="1"/>
    <col min="14" max="14" width="6.75390625" style="40" customWidth="1"/>
    <col min="15" max="15" width="3.75390625" style="40" customWidth="1"/>
    <col min="16" max="16" width="5.75390625" style="40" customWidth="1"/>
    <col min="17" max="17" width="4.75390625" style="40" customWidth="1"/>
    <col min="18" max="18" width="5.75390625" style="40" customWidth="1"/>
    <col min="19" max="19" width="4.75390625" style="40" customWidth="1"/>
    <col min="20" max="21" width="5.75390625" style="40" customWidth="1"/>
    <col min="22" max="22" width="3.75390625" style="40" customWidth="1"/>
    <col min="23" max="23" width="5.75390625" style="40" customWidth="1"/>
    <col min="24" max="24" width="3.50390625" style="40" customWidth="1"/>
    <col min="25" max="16384" width="10.75390625" style="40" customWidth="1"/>
  </cols>
  <sheetData>
    <row r="1" spans="3:19" ht="165" customHeight="1" thickBot="1" thickTop="1">
      <c r="C1" s="154" t="s">
        <v>188</v>
      </c>
      <c r="D1" s="154"/>
      <c r="E1" s="154"/>
      <c r="F1" s="155"/>
      <c r="G1" s="156" t="s">
        <v>0</v>
      </c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3:22" ht="15.75" customHeight="1" thickTop="1">
      <c r="C2" s="39"/>
      <c r="D2" s="41"/>
      <c r="E2" s="38"/>
      <c r="F2" s="42"/>
      <c r="G2" s="42"/>
      <c r="H2" s="42"/>
      <c r="I2" s="42"/>
      <c r="J2" s="42"/>
      <c r="K2" s="43"/>
      <c r="L2" s="44"/>
      <c r="M2" s="45"/>
      <c r="N2" s="32"/>
      <c r="O2" s="32"/>
      <c r="P2" s="33"/>
      <c r="Q2" s="32"/>
      <c r="R2" s="33"/>
      <c r="S2" s="33"/>
      <c r="T2" s="34"/>
      <c r="U2" s="34"/>
      <c r="V2" s="34"/>
    </row>
    <row r="3" spans="2:16" ht="15.75" customHeight="1">
      <c r="B3" s="35" t="s">
        <v>1</v>
      </c>
      <c r="C3" s="36"/>
      <c r="D3" s="37">
        <v>1</v>
      </c>
      <c r="E3" s="20"/>
      <c r="M3" s="21" t="s">
        <v>2</v>
      </c>
      <c r="P3" s="22" t="s">
        <v>3</v>
      </c>
    </row>
    <row r="4" spans="2:19" ht="15.75" customHeight="1">
      <c r="B4" s="23" t="s">
        <v>4</v>
      </c>
      <c r="C4" s="36"/>
      <c r="D4" s="36"/>
      <c r="I4" s="22" t="s">
        <v>5</v>
      </c>
      <c r="L4" s="24"/>
      <c r="M4" s="25">
        <v>4.2</v>
      </c>
      <c r="N4" s="26" t="s">
        <v>190</v>
      </c>
      <c r="O4" s="21" t="s">
        <v>6</v>
      </c>
      <c r="P4" s="25">
        <v>0.21</v>
      </c>
      <c r="Q4" s="26" t="s">
        <v>7</v>
      </c>
      <c r="R4" s="27">
        <f>ROUND(M4*P4,1)</f>
        <v>0.9</v>
      </c>
      <c r="S4" s="26" t="s">
        <v>8</v>
      </c>
    </row>
    <row r="5" spans="9:18" ht="15.75" customHeight="1">
      <c r="I5" s="22" t="s">
        <v>9</v>
      </c>
      <c r="M5" s="23"/>
      <c r="N5" s="21" t="s">
        <v>10</v>
      </c>
      <c r="P5" s="23" t="s">
        <v>11</v>
      </c>
      <c r="R5" s="36"/>
    </row>
    <row r="6" spans="9:19" ht="15.75" customHeight="1">
      <c r="I6" s="22" t="s">
        <v>12</v>
      </c>
      <c r="K6" s="22"/>
      <c r="N6" s="27">
        <f>ROUND(R4,1)</f>
        <v>0.9</v>
      </c>
      <c r="O6" s="28" t="s">
        <v>6</v>
      </c>
      <c r="P6" s="25">
        <v>1</v>
      </c>
      <c r="Q6" s="26" t="s">
        <v>7</v>
      </c>
      <c r="R6" s="27">
        <f>IF(N6="","",ROUND(N6*P6,1))</f>
        <v>0.9</v>
      </c>
      <c r="S6" s="26" t="s">
        <v>13</v>
      </c>
    </row>
    <row r="7" spans="14:18" ht="15.75" customHeight="1">
      <c r="N7" s="23"/>
      <c r="P7" s="36"/>
      <c r="R7" s="36"/>
    </row>
    <row r="8" ht="15.75" customHeight="1">
      <c r="I8" s="22" t="s">
        <v>14</v>
      </c>
    </row>
    <row r="9" spans="6:10" ht="15.75" customHeight="1">
      <c r="F9" s="22" t="s">
        <v>15</v>
      </c>
      <c r="I9" s="29">
        <v>0.9</v>
      </c>
      <c r="J9" s="30" t="s">
        <v>16</v>
      </c>
    </row>
    <row r="10" ht="15.75" customHeight="1">
      <c r="I10" s="36"/>
    </row>
    <row r="11" spans="9:12" ht="15.75" customHeight="1">
      <c r="I11" s="21" t="s">
        <v>17</v>
      </c>
      <c r="K11" s="21" t="s">
        <v>18</v>
      </c>
      <c r="L11" s="21" t="s">
        <v>19</v>
      </c>
    </row>
    <row r="12" spans="2:22" ht="21.75" customHeight="1">
      <c r="B12" s="22" t="s">
        <v>20</v>
      </c>
      <c r="E12" s="22"/>
      <c r="F12" s="22" t="s">
        <v>189</v>
      </c>
      <c r="I12" s="27">
        <f>ROUND(R$6,2)</f>
        <v>0.9</v>
      </c>
      <c r="J12" s="28" t="s">
        <v>21</v>
      </c>
      <c r="K12" s="27">
        <f>ROUND(I$9,2)</f>
        <v>0.9</v>
      </c>
      <c r="L12" s="28" t="s">
        <v>22</v>
      </c>
      <c r="M12" s="21" t="s">
        <v>23</v>
      </c>
      <c r="N12" s="31">
        <f>ROUND(I12*K12*K12/8,3)</f>
        <v>0.091</v>
      </c>
      <c r="O12" s="7" t="s">
        <v>24</v>
      </c>
      <c r="Q12" s="40" t="s">
        <v>25</v>
      </c>
      <c r="U12" s="8">
        <f>ROUND(N12*100,1)</f>
        <v>9.1</v>
      </c>
      <c r="V12" s="26" t="s">
        <v>26</v>
      </c>
    </row>
    <row r="13" spans="9:21" ht="15.75" customHeight="1">
      <c r="I13" s="9" t="s">
        <v>17</v>
      </c>
      <c r="K13" s="9" t="s">
        <v>18</v>
      </c>
      <c r="N13" s="36"/>
      <c r="U13" s="36"/>
    </row>
    <row r="14" spans="6:15" ht="15.75" customHeight="1">
      <c r="F14" s="22" t="s">
        <v>27</v>
      </c>
      <c r="I14" s="27">
        <f>ROUND(R$6,2)</f>
        <v>0.9</v>
      </c>
      <c r="J14" s="28" t="s">
        <v>21</v>
      </c>
      <c r="K14" s="27">
        <f>ROUND(I$9,2)</f>
        <v>0.9</v>
      </c>
      <c r="L14" s="28" t="s">
        <v>22</v>
      </c>
      <c r="M14" s="21" t="s">
        <v>28</v>
      </c>
      <c r="N14" s="31">
        <f>ROUND(I14*K14/2,3)</f>
        <v>0.405</v>
      </c>
      <c r="O14" s="28" t="s">
        <v>29</v>
      </c>
    </row>
    <row r="15" spans="9:18" ht="15.75" customHeight="1">
      <c r="I15" s="36"/>
      <c r="K15" s="36"/>
      <c r="N15" s="36"/>
      <c r="P15" s="21" t="s">
        <v>17</v>
      </c>
      <c r="R15" s="10" t="s">
        <v>193</v>
      </c>
    </row>
    <row r="16" spans="10:21" ht="15.75" customHeight="1">
      <c r="J16" s="11" t="s">
        <v>30</v>
      </c>
      <c r="K16" s="22" t="s">
        <v>191</v>
      </c>
      <c r="L16" s="12"/>
      <c r="N16" s="13">
        <v>1.86</v>
      </c>
      <c r="O16" s="26" t="s">
        <v>21</v>
      </c>
      <c r="P16" s="27">
        <f>ROUND(R$6,2)</f>
        <v>0.9</v>
      </c>
      <c r="Q16" s="28" t="s">
        <v>21</v>
      </c>
      <c r="R16" s="27">
        <f>ROUND(I$9,2)</f>
        <v>0.9</v>
      </c>
      <c r="S16" s="26" t="s">
        <v>7</v>
      </c>
      <c r="T16" s="27">
        <f>ROUND(N16*P16*(R16)^3,3)</f>
        <v>1.22</v>
      </c>
      <c r="U16" s="28" t="s">
        <v>192</v>
      </c>
    </row>
    <row r="17" spans="5:20" ht="15.75" customHeight="1">
      <c r="E17" s="22" t="s">
        <v>31</v>
      </c>
      <c r="K17" s="22" t="s">
        <v>32</v>
      </c>
      <c r="N17" s="36"/>
      <c r="P17" s="36"/>
      <c r="R17" s="36"/>
      <c r="T17" s="36"/>
    </row>
    <row r="18" ht="15.75" customHeight="1"/>
    <row r="19" spans="2:13" ht="15.75" customHeight="1">
      <c r="B19" s="22" t="s">
        <v>33</v>
      </c>
      <c r="J19" s="14"/>
      <c r="K19" s="15" t="s">
        <v>34</v>
      </c>
      <c r="L19" s="16"/>
      <c r="M19" s="17"/>
    </row>
    <row r="20" spans="10:15" ht="15.75" customHeight="1" thickBot="1">
      <c r="J20" s="18"/>
      <c r="K20" s="19" t="s">
        <v>26</v>
      </c>
      <c r="L20" s="18"/>
      <c r="M20" s="21" t="s">
        <v>35</v>
      </c>
      <c r="N20" s="10" t="s">
        <v>36</v>
      </c>
      <c r="O20" s="22"/>
    </row>
    <row r="21" spans="4:24" ht="15.75" customHeight="1" thickBot="1">
      <c r="D21" s="40" t="s">
        <v>218</v>
      </c>
      <c r="I21" s="40" t="s">
        <v>38</v>
      </c>
      <c r="J21" s="22" t="s">
        <v>39</v>
      </c>
      <c r="K21" s="8">
        <f>ROUND(U$12,2)</f>
        <v>9.1</v>
      </c>
      <c r="L21" s="28" t="s">
        <v>40</v>
      </c>
      <c r="M21" s="1">
        <f>ROUND(P$4*100,2)</f>
        <v>21</v>
      </c>
      <c r="N21" s="28" t="s">
        <v>41</v>
      </c>
      <c r="O21" s="21" t="s">
        <v>7</v>
      </c>
      <c r="P21" s="8">
        <f>ROUNDUP(SQRT(K21*6/(M21*14)),2)</f>
        <v>0.44</v>
      </c>
      <c r="Q21" s="30" t="s">
        <v>42</v>
      </c>
      <c r="R21" s="2"/>
      <c r="S21" s="3" t="str">
        <f>IF(P21&lt;T21/10,"＜","＞")</f>
        <v>＜</v>
      </c>
      <c r="T21" s="4">
        <v>9</v>
      </c>
      <c r="U21" s="7" t="s">
        <v>43</v>
      </c>
      <c r="V21" s="5" t="str">
        <f>IF(S21="","確認",IF(S21="＜","ＯＫです","ＯＵＴ"))</f>
        <v>ＯＫです</v>
      </c>
      <c r="W21" s="6"/>
      <c r="X21" s="18"/>
    </row>
    <row r="22" spans="11:23" ht="15.75" customHeight="1" thickBot="1">
      <c r="K22" s="9" t="s">
        <v>192</v>
      </c>
      <c r="M22" s="9" t="s">
        <v>35</v>
      </c>
      <c r="N22" s="10" t="s">
        <v>44</v>
      </c>
      <c r="P22" s="36"/>
      <c r="S22" s="46"/>
      <c r="T22" s="36"/>
      <c r="V22" s="18"/>
      <c r="W22" s="18"/>
    </row>
    <row r="23" spans="4:24" ht="15.75" customHeight="1" thickBot="1">
      <c r="D23" s="40" t="s">
        <v>45</v>
      </c>
      <c r="I23" s="40" t="s">
        <v>38</v>
      </c>
      <c r="J23" s="22" t="s">
        <v>39</v>
      </c>
      <c r="K23" s="8">
        <f>ROUND(T$16,2)</f>
        <v>1.22</v>
      </c>
      <c r="L23" s="26" t="s">
        <v>46</v>
      </c>
      <c r="M23" s="1">
        <f>ROUND(P$4*100,2)</f>
        <v>21</v>
      </c>
      <c r="N23" s="26" t="s">
        <v>47</v>
      </c>
      <c r="O23" s="21" t="s">
        <v>7</v>
      </c>
      <c r="P23" s="8">
        <f>ROUNDUP((K23*12/M23)^0.34,2)</f>
        <v>0.89</v>
      </c>
      <c r="Q23" s="30" t="s">
        <v>42</v>
      </c>
      <c r="R23" s="2"/>
      <c r="S23" s="3" t="str">
        <f>IF(P23&lt;T23/10,"＜","＞")</f>
        <v>＜</v>
      </c>
      <c r="T23" s="4">
        <v>9</v>
      </c>
      <c r="U23" s="7" t="s">
        <v>43</v>
      </c>
      <c r="V23" s="5" t="str">
        <f>IF(S23="","確認",IF(S23="＜","ＯＫです","ＯＵＴ"))</f>
        <v>ＯＫです</v>
      </c>
      <c r="W23" s="6"/>
      <c r="X23" s="18"/>
    </row>
    <row r="24" spans="3:23" ht="15.75" customHeight="1">
      <c r="C24" s="40" t="s">
        <v>38</v>
      </c>
      <c r="K24" s="36"/>
      <c r="M24" s="36"/>
      <c r="P24" s="36"/>
      <c r="S24" s="36"/>
      <c r="T24" s="36"/>
      <c r="V24" s="18"/>
      <c r="W24" s="18"/>
    </row>
    <row r="25" spans="2:22" ht="15.75" customHeight="1">
      <c r="B25" s="22"/>
      <c r="I25" s="47"/>
      <c r="J25" s="36"/>
      <c r="K25" s="23" t="s">
        <v>48</v>
      </c>
      <c r="L25" s="36"/>
      <c r="M25" s="36"/>
      <c r="N25" s="36"/>
      <c r="O25" s="36"/>
      <c r="P25" s="36"/>
      <c r="Q25" s="36"/>
      <c r="R25" s="48">
        <f>MAX(T21,T23)</f>
        <v>9</v>
      </c>
      <c r="S25" s="35" t="s">
        <v>43</v>
      </c>
      <c r="T25" s="23" t="s">
        <v>49</v>
      </c>
      <c r="U25" s="36"/>
      <c r="V25" s="20"/>
    </row>
    <row r="26" spans="9:21" ht="15.75" customHeight="1">
      <c r="I26" s="36"/>
      <c r="J26" s="36"/>
      <c r="K26" s="23"/>
      <c r="L26" s="36"/>
      <c r="M26" s="36"/>
      <c r="N26" s="36"/>
      <c r="O26" s="36"/>
      <c r="P26" s="36"/>
      <c r="Q26" s="36"/>
      <c r="R26" s="49"/>
      <c r="S26" s="50"/>
      <c r="T26" s="23"/>
      <c r="U26" s="36"/>
    </row>
    <row r="27" spans="2:20" ht="15.75" customHeight="1">
      <c r="B27" s="22" t="s">
        <v>50</v>
      </c>
      <c r="G27" s="15" t="s">
        <v>51</v>
      </c>
      <c r="H27" s="36"/>
      <c r="I27" s="36"/>
      <c r="J27" s="20"/>
      <c r="K27" s="22"/>
      <c r="N27" s="22" t="s">
        <v>198</v>
      </c>
      <c r="R27" s="52"/>
      <c r="T27" s="22"/>
    </row>
    <row r="28" spans="6:21" ht="15.75" customHeight="1">
      <c r="F28" s="40" t="s">
        <v>52</v>
      </c>
      <c r="H28" s="23"/>
      <c r="I28" s="23"/>
      <c r="J28" s="53" t="s">
        <v>53</v>
      </c>
      <c r="K28" s="13">
        <v>6</v>
      </c>
      <c r="L28" s="28" t="s">
        <v>21</v>
      </c>
      <c r="M28" s="25">
        <v>40</v>
      </c>
      <c r="N28" s="27">
        <f>ROUND(2*(K28/10)*(M28/10),2)</f>
        <v>4.8</v>
      </c>
      <c r="O28" s="26"/>
      <c r="P28" s="22" t="s">
        <v>54</v>
      </c>
      <c r="R28" s="52"/>
      <c r="S28" s="22" t="s">
        <v>7</v>
      </c>
      <c r="T28" s="54">
        <f>ROUND(2*(K28/10)*(M28/10)*(M28/20),2)</f>
        <v>9.6</v>
      </c>
      <c r="U28" s="20"/>
    </row>
    <row r="29" spans="2:21" ht="15.75" customHeight="1" thickBot="1">
      <c r="B29" s="10" t="s">
        <v>55</v>
      </c>
      <c r="I29" s="22"/>
      <c r="J29" s="12" t="s">
        <v>56</v>
      </c>
      <c r="K29" s="13">
        <v>6</v>
      </c>
      <c r="L29" s="28" t="s">
        <v>21</v>
      </c>
      <c r="M29" s="25">
        <v>210</v>
      </c>
      <c r="N29" s="27">
        <f>ROUND((K29/10)*(M29/10-(2*K28/10)),2)</f>
        <v>11.88</v>
      </c>
      <c r="O29" s="7"/>
      <c r="P29" s="22" t="s">
        <v>57</v>
      </c>
      <c r="R29" s="52"/>
      <c r="S29" s="22" t="s">
        <v>7</v>
      </c>
      <c r="T29" s="54">
        <f>ROUND(((M29/10)-(2*K28/10))*(K29/20),2)</f>
        <v>5.94</v>
      </c>
      <c r="U29" s="20"/>
    </row>
    <row r="30" spans="5:21" ht="15.75" customHeight="1">
      <c r="E30" s="40" t="s">
        <v>58</v>
      </c>
      <c r="K30" s="55"/>
      <c r="L30" s="55" t="s">
        <v>59</v>
      </c>
      <c r="M30" s="56"/>
      <c r="N30" s="57">
        <f>ROUND(N28+N29,2)</f>
        <v>16.68</v>
      </c>
      <c r="O30" s="58"/>
      <c r="P30" s="59"/>
      <c r="Q30" s="55" t="s">
        <v>217</v>
      </c>
      <c r="R30" s="60"/>
      <c r="S30" s="59"/>
      <c r="T30" s="61">
        <f>ROUND(T28+T29,2)</f>
        <v>15.54</v>
      </c>
      <c r="U30" s="20"/>
    </row>
    <row r="31" spans="4:21" ht="15.75" customHeight="1">
      <c r="D31" s="21" t="s">
        <v>60</v>
      </c>
      <c r="E31" s="22" t="s">
        <v>61</v>
      </c>
      <c r="K31" s="22"/>
      <c r="M31" s="22"/>
      <c r="N31" s="36"/>
      <c r="O31" s="22" t="s">
        <v>62</v>
      </c>
      <c r="P31" s="22"/>
      <c r="R31" s="52"/>
      <c r="T31" s="1">
        <f>ROUND(T30/N30,2)</f>
        <v>0.93</v>
      </c>
      <c r="U31" s="20"/>
    </row>
    <row r="32" spans="6:21" ht="15.75" customHeight="1">
      <c r="F32" s="22" t="s">
        <v>194</v>
      </c>
      <c r="G32" s="22"/>
      <c r="K32" s="22"/>
      <c r="T32" s="8">
        <f>ROUND(((K28/10)*(M28/10)^3)/12+((M29/10-2*(K28/10))*(K29/10)^3)/12+N28*(M28/20-T31)^2+N29*(T31-K28/20)^2,2)</f>
        <v>13.77</v>
      </c>
      <c r="U32" s="7" t="s">
        <v>192</v>
      </c>
    </row>
    <row r="33" spans="3:21" ht="15.75" customHeight="1">
      <c r="C33" s="22"/>
      <c r="F33" s="22" t="s">
        <v>63</v>
      </c>
      <c r="G33" s="22"/>
      <c r="K33" s="22"/>
      <c r="T33" s="8">
        <f>ROUND(T32/(M28/10-T31),2)</f>
        <v>4.49</v>
      </c>
      <c r="U33" s="7" t="s">
        <v>195</v>
      </c>
    </row>
    <row r="34" spans="6:20" ht="15.75" customHeight="1">
      <c r="F34" s="22"/>
      <c r="G34" s="22"/>
      <c r="K34" s="22"/>
      <c r="T34" s="36"/>
    </row>
    <row r="35" spans="3:22" ht="15.75" customHeight="1">
      <c r="C35" s="21" t="s">
        <v>64</v>
      </c>
      <c r="D35" s="25">
        <v>137</v>
      </c>
      <c r="E35" s="62" t="s">
        <v>199</v>
      </c>
      <c r="F35" s="22"/>
      <c r="G35" s="22"/>
      <c r="I35" s="22" t="s">
        <v>65</v>
      </c>
      <c r="K35" s="22"/>
      <c r="L35" s="34"/>
      <c r="N35" s="8">
        <f>ROUND((U12*10)/(T33*D35),2)</f>
        <v>0.15</v>
      </c>
      <c r="O35" s="63" t="str">
        <f>IF(N35&lt;=1,"≦","＞")</f>
        <v>≦</v>
      </c>
      <c r="P35" s="64">
        <v>1</v>
      </c>
      <c r="Q35" s="65" t="str">
        <f>IF(N35&lt;=1,"踏み板断面満足している","断面変更して下さい")</f>
        <v>踏み板断面満足している</v>
      </c>
      <c r="R35" s="66"/>
      <c r="S35" s="66"/>
      <c r="T35" s="66"/>
      <c r="U35" s="66"/>
      <c r="V35" s="20"/>
    </row>
    <row r="36" spans="4:21" ht="15.75" customHeight="1">
      <c r="D36" s="36"/>
      <c r="F36" s="22"/>
      <c r="G36" s="22"/>
      <c r="K36" s="22"/>
      <c r="N36" s="36"/>
      <c r="O36" s="36"/>
      <c r="P36" s="36"/>
      <c r="Q36" s="36"/>
      <c r="R36" s="36"/>
      <c r="S36" s="36"/>
      <c r="T36" s="36"/>
      <c r="U36" s="36"/>
    </row>
    <row r="37" spans="6:23" ht="15.75" customHeight="1">
      <c r="F37" s="22"/>
      <c r="G37" s="22"/>
      <c r="H37" s="51" t="s">
        <v>66</v>
      </c>
      <c r="I37" s="23"/>
      <c r="J37" s="36"/>
      <c r="K37" s="51" t="s">
        <v>67</v>
      </c>
      <c r="L37" s="65">
        <f>IF(O35="≦",ROUND(M28,0),"")</f>
        <v>40</v>
      </c>
      <c r="M37" s="67" t="s">
        <v>43</v>
      </c>
      <c r="N37" s="23" t="s">
        <v>68</v>
      </c>
      <c r="O37" s="36"/>
      <c r="P37" s="65">
        <f>IF(O35="≦",ROUND(M29,0),"")</f>
        <v>210</v>
      </c>
      <c r="Q37" s="51" t="s">
        <v>43</v>
      </c>
      <c r="R37" s="9" t="s">
        <v>69</v>
      </c>
      <c r="S37" s="36"/>
      <c r="T37" s="65">
        <f>IF(O35="≦",MAX(K28,K29),"")</f>
        <v>6</v>
      </c>
      <c r="U37" s="51" t="s">
        <v>70</v>
      </c>
      <c r="V37" s="36"/>
      <c r="W37" s="20"/>
    </row>
    <row r="38" spans="6:22" ht="15.75" customHeight="1">
      <c r="F38" s="22"/>
      <c r="G38" s="22"/>
      <c r="H38" s="68"/>
      <c r="I38" s="68"/>
      <c r="J38" s="69"/>
      <c r="K38" s="68"/>
      <c r="L38" s="70"/>
      <c r="M38" s="70"/>
      <c r="N38" s="68"/>
      <c r="O38" s="69"/>
      <c r="P38" s="70"/>
      <c r="Q38" s="68"/>
      <c r="R38" s="71"/>
      <c r="S38" s="69"/>
      <c r="T38" s="70"/>
      <c r="U38" s="70"/>
      <c r="V38" s="36"/>
    </row>
    <row r="39" spans="2:15" ht="15.75" customHeight="1">
      <c r="B39" s="22" t="s">
        <v>71</v>
      </c>
      <c r="I39" s="14"/>
      <c r="J39" s="15" t="s">
        <v>72</v>
      </c>
      <c r="K39" s="16"/>
      <c r="L39" s="16"/>
      <c r="M39" s="143"/>
      <c r="N39" s="16"/>
      <c r="O39" s="17"/>
    </row>
    <row r="40" spans="3:15" ht="15.75" customHeight="1" thickBot="1">
      <c r="C40" s="40" t="s">
        <v>38</v>
      </c>
      <c r="I40" s="18"/>
      <c r="J40" s="18"/>
      <c r="K40" s="19" t="s">
        <v>73</v>
      </c>
      <c r="L40" s="18"/>
      <c r="M40" s="19" t="s">
        <v>74</v>
      </c>
      <c r="N40" s="142" t="s">
        <v>75</v>
      </c>
      <c r="O40" s="22"/>
    </row>
    <row r="41" spans="4:24" ht="15.75" customHeight="1" thickBot="1">
      <c r="D41" s="40" t="s">
        <v>218</v>
      </c>
      <c r="I41" s="40" t="s">
        <v>38</v>
      </c>
      <c r="J41" s="22" t="s">
        <v>39</v>
      </c>
      <c r="K41" s="8">
        <f>ROUND(U$12,2)</f>
        <v>9.1</v>
      </c>
      <c r="L41" s="28" t="s">
        <v>40</v>
      </c>
      <c r="M41" s="13">
        <v>21</v>
      </c>
      <c r="N41" s="28" t="s">
        <v>41</v>
      </c>
      <c r="O41" s="21" t="s">
        <v>7</v>
      </c>
      <c r="P41" s="8">
        <f>ROUNDUP(K41*6/(M41^2*14),2)</f>
        <v>0.01</v>
      </c>
      <c r="Q41" s="30" t="s">
        <v>42</v>
      </c>
      <c r="R41" s="2"/>
      <c r="S41" s="63" t="str">
        <f>IF(P41&lt;T41/10,"＜","＞")</f>
        <v>＜</v>
      </c>
      <c r="T41" s="4">
        <v>6</v>
      </c>
      <c r="U41" s="7" t="s">
        <v>43</v>
      </c>
      <c r="V41" s="5" t="str">
        <f>IF(S41="","確認",IF(S41="＜","ＯＫです","ＯＵＴ"))</f>
        <v>ＯＫです</v>
      </c>
      <c r="W41" s="6"/>
      <c r="X41" s="18"/>
    </row>
    <row r="42" spans="11:23" ht="15.75" customHeight="1" thickBot="1">
      <c r="K42" s="9" t="s">
        <v>200</v>
      </c>
      <c r="M42" s="9" t="s">
        <v>74</v>
      </c>
      <c r="N42" s="72" t="s">
        <v>76</v>
      </c>
      <c r="P42" s="36"/>
      <c r="S42" s="46"/>
      <c r="T42" s="36"/>
      <c r="V42" s="18"/>
      <c r="W42" s="18"/>
    </row>
    <row r="43" spans="2:24" ht="15.75" customHeight="1" thickBot="1">
      <c r="B43" s="40" t="s">
        <v>77</v>
      </c>
      <c r="D43" s="40" t="s">
        <v>45</v>
      </c>
      <c r="I43" s="40" t="s">
        <v>38</v>
      </c>
      <c r="J43" s="22" t="s">
        <v>39</v>
      </c>
      <c r="K43" s="8">
        <f>ROUND(T$16,2)</f>
        <v>1.22</v>
      </c>
      <c r="L43" s="26" t="s">
        <v>46</v>
      </c>
      <c r="M43" s="13">
        <v>21</v>
      </c>
      <c r="N43" s="26" t="s">
        <v>47</v>
      </c>
      <c r="O43" s="21" t="s">
        <v>7</v>
      </c>
      <c r="P43" s="8">
        <f>ROUNDUP(K43*12/(M43)^3,2)</f>
        <v>0.01</v>
      </c>
      <c r="Q43" s="30" t="s">
        <v>42</v>
      </c>
      <c r="R43" s="2"/>
      <c r="S43" s="63" t="str">
        <f>IF(P43&lt;T43/10,"＜","＞")</f>
        <v>＜</v>
      </c>
      <c r="T43" s="4">
        <v>6</v>
      </c>
      <c r="U43" s="7" t="s">
        <v>43</v>
      </c>
      <c r="V43" s="5" t="str">
        <f>IF(S43="","確認",IF(S43="＜","ＯＫです","ＯＵＴ"))</f>
        <v>ＯＫです</v>
      </c>
      <c r="W43" s="6"/>
      <c r="X43" s="18"/>
    </row>
    <row r="44" spans="11:23" ht="15.75" customHeight="1">
      <c r="K44" s="36"/>
      <c r="M44" s="36"/>
      <c r="P44" s="36"/>
      <c r="S44" s="36"/>
      <c r="T44" s="36"/>
      <c r="V44" s="18"/>
      <c r="W44" s="18"/>
    </row>
    <row r="45" spans="3:22" ht="15.75" customHeight="1">
      <c r="C45" s="22"/>
      <c r="I45" s="47"/>
      <c r="J45" s="36"/>
      <c r="K45" s="23" t="s">
        <v>48</v>
      </c>
      <c r="L45" s="36"/>
      <c r="M45" s="36"/>
      <c r="N45" s="36"/>
      <c r="O45" s="36"/>
      <c r="P45" s="36"/>
      <c r="Q45" s="36"/>
      <c r="R45" s="48">
        <f>MAX(T41,T43)</f>
        <v>6</v>
      </c>
      <c r="S45" s="51" t="s">
        <v>78</v>
      </c>
      <c r="T45" s="23"/>
      <c r="U45" s="36"/>
      <c r="V45" s="20"/>
    </row>
    <row r="46" spans="6:21" ht="15.75" customHeight="1">
      <c r="F46" s="22"/>
      <c r="G46" s="22"/>
      <c r="H46" s="73"/>
      <c r="I46" s="68"/>
      <c r="J46" s="69"/>
      <c r="K46" s="68"/>
      <c r="L46" s="70"/>
      <c r="M46" s="70"/>
      <c r="N46" s="68"/>
      <c r="O46" s="69"/>
      <c r="P46" s="70"/>
      <c r="Q46" s="68"/>
      <c r="R46" s="71"/>
      <c r="S46" s="69"/>
      <c r="T46" s="70"/>
      <c r="U46" s="70"/>
    </row>
    <row r="47" spans="2:21" ht="15.75" customHeight="1">
      <c r="B47" s="22" t="s">
        <v>79</v>
      </c>
      <c r="F47" s="22"/>
      <c r="G47" s="22"/>
      <c r="H47" s="73"/>
      <c r="I47" s="14"/>
      <c r="J47" s="51" t="s">
        <v>80</v>
      </c>
      <c r="K47" s="36"/>
      <c r="L47" s="23"/>
      <c r="M47" s="36"/>
      <c r="N47" s="36"/>
      <c r="O47" s="74"/>
      <c r="P47" s="24"/>
      <c r="Q47" s="73"/>
      <c r="R47" s="75"/>
      <c r="S47" s="34"/>
      <c r="T47" s="24"/>
      <c r="U47" s="24"/>
    </row>
    <row r="48" spans="6:21" ht="15.75" customHeight="1">
      <c r="F48" s="22"/>
      <c r="G48" s="22"/>
      <c r="H48" s="73" t="s">
        <v>81</v>
      </c>
      <c r="I48" s="144"/>
      <c r="J48" s="71" t="s">
        <v>7</v>
      </c>
      <c r="K48" s="13">
        <v>21</v>
      </c>
      <c r="L48" s="67" t="s">
        <v>35</v>
      </c>
      <c r="M48" s="71" t="s">
        <v>82</v>
      </c>
      <c r="N48" s="76">
        <f>ROUND(2*(K48/2)*K50*((K49-K50)/2)^2+(K49-2*K50)^3*K50/12,1)</f>
        <v>1699</v>
      </c>
      <c r="O48" s="77" t="s">
        <v>192</v>
      </c>
      <c r="P48" s="24"/>
      <c r="Q48" s="73"/>
      <c r="R48" s="75"/>
      <c r="S48" s="75"/>
      <c r="T48" s="24"/>
      <c r="U48" s="24"/>
    </row>
    <row r="49" spans="5:21" ht="15.75" customHeight="1">
      <c r="E49" s="40" t="s">
        <v>77</v>
      </c>
      <c r="F49" s="22"/>
      <c r="G49" s="22"/>
      <c r="H49" s="73" t="s">
        <v>83</v>
      </c>
      <c r="I49" s="73"/>
      <c r="J49" s="75" t="s">
        <v>7</v>
      </c>
      <c r="K49" s="13">
        <v>21</v>
      </c>
      <c r="L49" s="78" t="s">
        <v>35</v>
      </c>
      <c r="M49" s="75" t="s">
        <v>84</v>
      </c>
      <c r="N49" s="76">
        <f>ROUND(N48*2/(K49-K50),1)</f>
        <v>166.6</v>
      </c>
      <c r="O49" s="77" t="s">
        <v>195</v>
      </c>
      <c r="P49" s="24"/>
      <c r="Q49" s="73"/>
      <c r="R49" s="75"/>
      <c r="S49" s="75"/>
      <c r="T49" s="24"/>
      <c r="U49" s="24"/>
    </row>
    <row r="50" spans="6:21" ht="15.75" customHeight="1">
      <c r="F50" s="22"/>
      <c r="G50" s="22"/>
      <c r="H50" s="73" t="s">
        <v>38</v>
      </c>
      <c r="I50" s="73"/>
      <c r="J50" s="75" t="s">
        <v>7</v>
      </c>
      <c r="K50" s="13">
        <v>0.6</v>
      </c>
      <c r="L50" s="78" t="s">
        <v>35</v>
      </c>
      <c r="M50" s="75" t="s">
        <v>85</v>
      </c>
      <c r="N50" s="79">
        <v>14</v>
      </c>
      <c r="O50" s="78" t="s">
        <v>196</v>
      </c>
      <c r="P50" s="24"/>
      <c r="Q50" s="73"/>
      <c r="R50" s="75"/>
      <c r="S50" s="34"/>
      <c r="T50" s="24"/>
      <c r="U50" s="24"/>
    </row>
    <row r="51" spans="6:21" ht="15.75" customHeight="1">
      <c r="F51" s="22"/>
      <c r="G51" s="22"/>
      <c r="H51" s="73"/>
      <c r="I51" s="73"/>
      <c r="J51" s="34"/>
      <c r="K51" s="68" t="s">
        <v>197</v>
      </c>
      <c r="L51" s="24"/>
      <c r="M51" s="24"/>
      <c r="N51" s="76">
        <f>ROUND(1.86*R6*(I9)^3,1)</f>
        <v>1.2</v>
      </c>
      <c r="O51" s="77" t="s">
        <v>192</v>
      </c>
      <c r="P51" s="24"/>
      <c r="Q51" s="80" t="str">
        <f>IF(N48&gt;=N51,"OK","OUT")</f>
        <v>OK</v>
      </c>
      <c r="R51" s="81"/>
      <c r="S51" s="34"/>
      <c r="T51" s="24"/>
      <c r="U51" s="24"/>
    </row>
    <row r="52" spans="2:21" ht="15.75" customHeight="1">
      <c r="B52" s="40" t="s">
        <v>86</v>
      </c>
      <c r="C52" s="22" t="s">
        <v>87</v>
      </c>
      <c r="F52" s="22"/>
      <c r="G52" s="22"/>
      <c r="H52" s="73"/>
      <c r="I52" s="73"/>
      <c r="J52" s="34"/>
      <c r="K52" s="73" t="s">
        <v>88</v>
      </c>
      <c r="L52" s="24"/>
      <c r="M52" s="24"/>
      <c r="N52" s="76">
        <f>ROUND(U12/N50,1)</f>
        <v>0.7</v>
      </c>
      <c r="O52" s="77" t="s">
        <v>195</v>
      </c>
      <c r="P52" s="24"/>
      <c r="Q52" s="80" t="str">
        <f>IF(N49&gt;=N52,"OK","OUT")</f>
        <v>OK</v>
      </c>
      <c r="R52" s="81"/>
      <c r="S52" s="34"/>
      <c r="T52" s="24"/>
      <c r="U52" s="24"/>
    </row>
    <row r="53" spans="6:21" ht="15.75" customHeight="1">
      <c r="F53" s="22"/>
      <c r="G53" s="22"/>
      <c r="H53" s="73"/>
      <c r="I53" s="73"/>
      <c r="J53" s="34"/>
      <c r="K53" s="73"/>
      <c r="L53" s="24"/>
      <c r="M53" s="24"/>
      <c r="N53" s="68"/>
      <c r="O53" s="34"/>
      <c r="P53" s="24"/>
      <c r="Q53" s="68"/>
      <c r="R53" s="75"/>
      <c r="S53" s="34"/>
      <c r="T53" s="24"/>
      <c r="U53" s="24"/>
    </row>
    <row r="54" spans="2:24" ht="15.75" customHeight="1">
      <c r="B54" s="82" t="s">
        <v>89</v>
      </c>
      <c r="C54" s="36"/>
      <c r="D54" s="36"/>
      <c r="E54" s="36"/>
      <c r="F54" s="23"/>
      <c r="G54" s="83">
        <v>3</v>
      </c>
      <c r="H54" s="84" t="str">
        <f>IF(G54=1,"形状Ｄタイプ　踏み板形とする。",IF(G54=2,"形状Ｂタイプ　Ｕ形とする。",IF(G54=3,"形状Ａタイプ（ウェブのみ有効）",IF(G54=4,"形状Ａタイプ　Ｚ形（全断面有効）","確認"))))</f>
        <v>形状Ａタイプ（ウェブのみ有効）</v>
      </c>
      <c r="I54" s="85"/>
      <c r="J54" s="66"/>
      <c r="K54" s="85"/>
      <c r="L54" s="86"/>
      <c r="M54" s="86"/>
      <c r="N54" s="82" t="s">
        <v>90</v>
      </c>
      <c r="O54" s="69"/>
      <c r="P54" s="70"/>
      <c r="Q54" s="68"/>
      <c r="R54" s="71"/>
      <c r="S54" s="69"/>
      <c r="T54" s="87">
        <f>IF(G54=4,ROUND(K50*10,0),IF(G54=3,ROUND(R45,0),IF(G54=2,ROUND(T37,0),IF(G54=1,ROUND(R25,0),"確認"))))</f>
        <v>6</v>
      </c>
      <c r="U54" s="88" t="s">
        <v>91</v>
      </c>
      <c r="V54" s="36"/>
      <c r="W54" s="36"/>
      <c r="X54" s="20"/>
    </row>
    <row r="55" spans="2:23" ht="15.75" customHeight="1">
      <c r="B55" s="23"/>
      <c r="C55" s="36"/>
      <c r="D55" s="36"/>
      <c r="E55" s="36"/>
      <c r="F55" s="23"/>
      <c r="G55" s="89" t="s">
        <v>92</v>
      </c>
      <c r="H55" s="68"/>
      <c r="I55" s="68"/>
      <c r="J55" s="69"/>
      <c r="K55" s="68"/>
      <c r="L55" s="70"/>
      <c r="M55" s="70"/>
      <c r="N55" s="23"/>
      <c r="O55" s="69"/>
      <c r="P55" s="70"/>
      <c r="Q55" s="68"/>
      <c r="R55" s="71"/>
      <c r="S55" s="69"/>
      <c r="T55" s="90"/>
      <c r="U55" s="9"/>
      <c r="V55" s="36"/>
      <c r="W55" s="36"/>
    </row>
    <row r="56" spans="6:21" ht="15.75" customHeight="1">
      <c r="F56" s="22"/>
      <c r="G56" s="23"/>
      <c r="H56" s="68"/>
      <c r="I56" s="68"/>
      <c r="J56" s="69"/>
      <c r="K56" s="68"/>
      <c r="L56" s="70"/>
      <c r="M56" s="70"/>
      <c r="N56" s="68"/>
      <c r="O56" s="69"/>
      <c r="P56" s="70"/>
      <c r="Q56" s="68"/>
      <c r="R56" s="71"/>
      <c r="S56" s="69"/>
      <c r="T56" s="24"/>
      <c r="U56" s="24"/>
    </row>
    <row r="57" ht="15.75" customHeight="1" thickBot="1"/>
    <row r="58" spans="3:19" ht="27" customHeight="1" thickBot="1" thickTop="1">
      <c r="C58" s="151" t="s">
        <v>201</v>
      </c>
      <c r="D58" s="151"/>
      <c r="E58" s="151"/>
      <c r="F58" s="152"/>
      <c r="G58" s="153" t="s">
        <v>93</v>
      </c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</row>
    <row r="59" spans="3:19" ht="15.75" customHeight="1" thickTop="1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spans="2:21" ht="15.75" customHeight="1">
      <c r="B60" s="22" t="s">
        <v>94</v>
      </c>
      <c r="H60" s="22" t="s">
        <v>202</v>
      </c>
      <c r="P60" s="25">
        <v>1</v>
      </c>
      <c r="Q60" s="26" t="s">
        <v>203</v>
      </c>
      <c r="S60" s="63" t="s">
        <v>95</v>
      </c>
      <c r="T60" s="91">
        <f>ROUND(MAX(360,E71*100/P60),0)</f>
        <v>360</v>
      </c>
      <c r="U60" s="7" t="s">
        <v>96</v>
      </c>
    </row>
    <row r="61" spans="13:20" ht="15.75" customHeight="1">
      <c r="M61" s="22" t="s">
        <v>97</v>
      </c>
      <c r="P61" s="23" t="s">
        <v>98</v>
      </c>
      <c r="S61" s="36"/>
      <c r="T61" s="36"/>
    </row>
    <row r="62" spans="8:19" ht="15.75" customHeight="1">
      <c r="H62" s="40" t="s">
        <v>99</v>
      </c>
      <c r="M62" s="25">
        <v>4.2</v>
      </c>
      <c r="N62" s="26" t="s">
        <v>204</v>
      </c>
      <c r="O62" s="22" t="s">
        <v>21</v>
      </c>
      <c r="P62" s="29">
        <v>0.9</v>
      </c>
      <c r="Q62" s="28" t="s">
        <v>205</v>
      </c>
      <c r="R62" s="92">
        <f>ROUND(M62*P62/2,2)</f>
        <v>1.89</v>
      </c>
      <c r="S62" s="22" t="s">
        <v>100</v>
      </c>
    </row>
    <row r="63" spans="5:18" ht="15.75" customHeight="1">
      <c r="E63" s="22" t="s">
        <v>101</v>
      </c>
      <c r="K63" s="123"/>
      <c r="M63" s="23"/>
      <c r="P63" s="36"/>
      <c r="R63" s="36"/>
    </row>
    <row r="64" spans="9:16" ht="15.75" customHeight="1">
      <c r="I64" s="123"/>
      <c r="K64" s="123"/>
      <c r="P64" s="10" t="s">
        <v>75</v>
      </c>
    </row>
    <row r="65" spans="9:22" ht="15.75" customHeight="1">
      <c r="I65" s="122"/>
      <c r="J65" s="21"/>
      <c r="K65" s="122" t="s">
        <v>206</v>
      </c>
      <c r="N65" s="8">
        <f>ROUND(R62,3)</f>
        <v>1.89</v>
      </c>
      <c r="O65" s="28" t="s">
        <v>21</v>
      </c>
      <c r="P65" s="27">
        <f>ROUND(E71,2)</f>
        <v>1.1</v>
      </c>
      <c r="Q65" s="28" t="s">
        <v>102</v>
      </c>
      <c r="R65" s="27">
        <f>ROUND(N65*P65*P65/8,2)</f>
        <v>0.29</v>
      </c>
      <c r="S65" s="20"/>
      <c r="T65" s="40" t="s">
        <v>24</v>
      </c>
      <c r="U65" s="8">
        <f>ROUND(R65*100,1)</f>
        <v>29</v>
      </c>
      <c r="V65" s="26" t="s">
        <v>26</v>
      </c>
    </row>
    <row r="66" spans="9:21" ht="15.75" customHeight="1">
      <c r="I66" s="123"/>
      <c r="K66" s="123"/>
      <c r="N66" s="36"/>
      <c r="P66" s="36"/>
      <c r="R66" s="36"/>
      <c r="U66" s="36"/>
    </row>
    <row r="67" spans="9:20" ht="15.75" customHeight="1">
      <c r="I67" s="122"/>
      <c r="J67" s="21"/>
      <c r="K67" s="122" t="s">
        <v>103</v>
      </c>
      <c r="N67" s="8">
        <f>ROUND(R62,2)</f>
        <v>1.89</v>
      </c>
      <c r="O67" s="28" t="s">
        <v>21</v>
      </c>
      <c r="P67" s="27">
        <f>ROUND(E71,2)</f>
        <v>1.1</v>
      </c>
      <c r="Q67" s="28" t="s">
        <v>104</v>
      </c>
      <c r="R67" s="27">
        <f>ROUND(N67*P67/2,2)</f>
        <v>1.04</v>
      </c>
      <c r="S67" s="20"/>
      <c r="T67" s="72" t="s">
        <v>29</v>
      </c>
    </row>
    <row r="68" spans="9:18" ht="15.75" customHeight="1">
      <c r="I68" s="123"/>
      <c r="K68" s="123"/>
      <c r="N68" s="36"/>
      <c r="P68" s="36"/>
      <c r="R68" s="93" t="s">
        <v>76</v>
      </c>
    </row>
    <row r="69" spans="8:21" ht="15.75" customHeight="1">
      <c r="H69" s="22"/>
      <c r="I69" s="22" t="s">
        <v>105</v>
      </c>
      <c r="J69" s="22"/>
      <c r="K69" s="22" t="s">
        <v>207</v>
      </c>
      <c r="N69" s="8">
        <f>ROUNDUP(5*T60/(384*2.1),1)</f>
        <v>2.3000000000000003</v>
      </c>
      <c r="O69" s="28" t="s">
        <v>21</v>
      </c>
      <c r="P69" s="8">
        <f>ROUND(R62,3)</f>
        <v>1.89</v>
      </c>
      <c r="Q69" s="28" t="s">
        <v>21</v>
      </c>
      <c r="R69" s="27">
        <f>ROUND(E71,2)</f>
        <v>1.1</v>
      </c>
      <c r="S69" s="28" t="s">
        <v>7</v>
      </c>
      <c r="T69" s="8">
        <f>ROUND(N69*P69*R69*R69*R69,1)</f>
        <v>5.8</v>
      </c>
      <c r="U69" s="30" t="s">
        <v>208</v>
      </c>
    </row>
    <row r="70" spans="14:20" ht="15.75" customHeight="1">
      <c r="N70" s="36"/>
      <c r="P70" s="36"/>
      <c r="R70" s="36"/>
      <c r="T70" s="36"/>
    </row>
    <row r="71" spans="3:6" ht="15.75" customHeight="1">
      <c r="C71" s="22" t="s">
        <v>106</v>
      </c>
      <c r="D71" s="34"/>
      <c r="E71" s="29">
        <v>1.1</v>
      </c>
      <c r="F71" s="26" t="s">
        <v>107</v>
      </c>
    </row>
    <row r="72" spans="5:24" ht="15.75" customHeight="1">
      <c r="E72" s="50" t="s">
        <v>108</v>
      </c>
      <c r="X72" s="94"/>
    </row>
    <row r="73" ht="15.75" customHeight="1"/>
    <row r="74" spans="2:13" ht="15.75" customHeight="1">
      <c r="B74" s="22" t="s">
        <v>109</v>
      </c>
      <c r="M74" s="22" t="s">
        <v>110</v>
      </c>
    </row>
    <row r="75" spans="11:20" ht="15.75" customHeight="1">
      <c r="K75" s="21" t="s">
        <v>26</v>
      </c>
      <c r="M75" s="21" t="s">
        <v>74</v>
      </c>
      <c r="N75" s="72" t="s">
        <v>75</v>
      </c>
      <c r="P75" s="40" t="s">
        <v>111</v>
      </c>
      <c r="T75" s="40" t="s">
        <v>112</v>
      </c>
    </row>
    <row r="76" spans="2:23" ht="15.75" customHeight="1">
      <c r="B76" s="22" t="s">
        <v>113</v>
      </c>
      <c r="D76" s="40" t="s">
        <v>218</v>
      </c>
      <c r="I76" s="40" t="s">
        <v>38</v>
      </c>
      <c r="J76" s="22" t="s">
        <v>39</v>
      </c>
      <c r="K76" s="8">
        <f>ROUND(U65,2)</f>
        <v>29</v>
      </c>
      <c r="L76" s="28" t="s">
        <v>114</v>
      </c>
      <c r="M76" s="25">
        <v>25</v>
      </c>
      <c r="N76" s="28" t="s">
        <v>115</v>
      </c>
      <c r="O76" s="21" t="s">
        <v>7</v>
      </c>
      <c r="P76" s="8">
        <f>ROUND(K76*6*10/((M76)^2*14),2)</f>
        <v>0.2</v>
      </c>
      <c r="Q76" s="26" t="s">
        <v>43</v>
      </c>
      <c r="R76" s="130"/>
      <c r="S76" s="63" t="s">
        <v>116</v>
      </c>
      <c r="T76" s="95" t="str">
        <f>IF(P76&gt;19,"断面変更",IF(AND(P76&gt;16,P76&lt;=19),"19mm以上",IF(AND(P76&gt;12,P76&lt;=16),"16mm以上",IF(AND(P76&gt;9,P76&lt;=12),"12mm以上",IF(P76&lt;9,"9mm以上","")))))</f>
        <v>9mm以上</v>
      </c>
      <c r="U76" s="85"/>
      <c r="V76" s="20"/>
      <c r="W76" s="22"/>
    </row>
    <row r="77" spans="11:21" ht="15.75" customHeight="1">
      <c r="K77" s="9" t="s">
        <v>209</v>
      </c>
      <c r="M77" s="9" t="s">
        <v>35</v>
      </c>
      <c r="N77" s="145" t="s">
        <v>219</v>
      </c>
      <c r="P77" s="36"/>
      <c r="R77" s="120"/>
      <c r="S77" s="46"/>
      <c r="T77" s="36"/>
      <c r="U77" s="36"/>
    </row>
    <row r="78" spans="8:23" ht="15.75" customHeight="1">
      <c r="H78" s="12" t="s">
        <v>117</v>
      </c>
      <c r="I78" s="40" t="s">
        <v>38</v>
      </c>
      <c r="J78" s="22" t="s">
        <v>39</v>
      </c>
      <c r="K78" s="8">
        <f>ROUND(T69,2)</f>
        <v>5.8</v>
      </c>
      <c r="L78" s="26" t="s">
        <v>118</v>
      </c>
      <c r="M78" s="25">
        <v>25</v>
      </c>
      <c r="N78" s="26" t="s">
        <v>47</v>
      </c>
      <c r="O78" s="21" t="s">
        <v>7</v>
      </c>
      <c r="P78" s="8">
        <f>ROUNDUP(K78*12*10/(M78)^3,2)</f>
        <v>0.05</v>
      </c>
      <c r="Q78" s="26" t="s">
        <v>43</v>
      </c>
      <c r="R78" s="130"/>
      <c r="S78" s="63" t="s">
        <v>116</v>
      </c>
      <c r="T78" s="95" t="str">
        <f>IF(P78&gt;19,"断面変更",IF(AND(P78&gt;16,P78&lt;=19),"19mm以上",IF(AND(P78&gt;12,P78&lt;=16),"16mm以上",IF(AND(P78&gt;9,P78&lt;=12),"12mm以上",IF(P78&lt;9,"9mm以上","")))))</f>
        <v>9mm以上</v>
      </c>
      <c r="U78" s="85"/>
      <c r="V78" s="20"/>
      <c r="W78" s="22"/>
    </row>
    <row r="79" spans="11:21" ht="15.75" customHeight="1">
      <c r="K79" s="36"/>
      <c r="M79" s="36"/>
      <c r="P79" s="36"/>
      <c r="S79" s="36"/>
      <c r="T79" s="36"/>
      <c r="U79" s="36"/>
    </row>
    <row r="80" spans="10:24" ht="15.75" customHeight="1">
      <c r="J80" s="47"/>
      <c r="K80" s="23" t="s">
        <v>119</v>
      </c>
      <c r="L80" s="23"/>
      <c r="M80" s="36"/>
      <c r="N80" s="36"/>
      <c r="O80" s="36"/>
      <c r="P80" s="36"/>
      <c r="Q80" s="36"/>
      <c r="R80" s="96">
        <v>12</v>
      </c>
      <c r="S80" s="63" t="s">
        <v>21</v>
      </c>
      <c r="T80" s="84">
        <f>ROUND(MAX(M76*10,M78*10),0)</f>
        <v>250</v>
      </c>
      <c r="U80" s="51" t="s">
        <v>120</v>
      </c>
      <c r="V80" s="36"/>
      <c r="W80" s="36"/>
      <c r="X80" s="20"/>
    </row>
    <row r="81" spans="10:23" ht="15.75" customHeight="1">
      <c r="J81" s="36"/>
      <c r="K81" s="23"/>
      <c r="L81" s="23"/>
      <c r="M81" s="36"/>
      <c r="N81" s="36"/>
      <c r="O81" s="36"/>
      <c r="P81" s="146" t="s">
        <v>220</v>
      </c>
      <c r="Q81" s="36"/>
      <c r="R81" s="49" t="s">
        <v>210</v>
      </c>
      <c r="S81" s="97"/>
      <c r="T81" s="147" t="s">
        <v>211</v>
      </c>
      <c r="U81" s="50"/>
      <c r="V81" s="36"/>
      <c r="W81" s="36"/>
    </row>
    <row r="82" spans="2:21" ht="15.75" customHeight="1">
      <c r="B82" s="22" t="s">
        <v>121</v>
      </c>
      <c r="H82" s="40" t="s">
        <v>122</v>
      </c>
      <c r="K82" s="13">
        <v>125</v>
      </c>
      <c r="L82" s="13">
        <v>65</v>
      </c>
      <c r="M82" s="25">
        <v>6</v>
      </c>
      <c r="N82" s="25">
        <v>8</v>
      </c>
      <c r="O82" s="28" t="s">
        <v>123</v>
      </c>
      <c r="P82" s="25">
        <v>17.11</v>
      </c>
      <c r="Q82" s="28" t="s">
        <v>124</v>
      </c>
      <c r="R82" s="98">
        <v>425</v>
      </c>
      <c r="S82" s="99" t="s">
        <v>125</v>
      </c>
      <c r="T82" s="13">
        <v>68</v>
      </c>
      <c r="U82" s="7"/>
    </row>
    <row r="83" spans="4:20" ht="15.75" customHeight="1">
      <c r="D83" s="22"/>
      <c r="E83" s="12" t="s">
        <v>126</v>
      </c>
      <c r="F83" s="27">
        <f>ROUND(E71,2)</f>
        <v>1.1</v>
      </c>
      <c r="G83" s="7" t="s">
        <v>127</v>
      </c>
      <c r="K83" s="23"/>
      <c r="L83" s="23"/>
      <c r="M83" s="36"/>
      <c r="N83" s="36"/>
      <c r="P83" s="36"/>
      <c r="R83" s="100"/>
      <c r="S83" s="101"/>
      <c r="T83" s="23"/>
    </row>
    <row r="84" spans="6:20" ht="15.75" customHeight="1">
      <c r="F84" s="36"/>
      <c r="G84" s="22"/>
      <c r="H84" s="22" t="s">
        <v>128</v>
      </c>
      <c r="K84" s="22"/>
      <c r="L84" s="22"/>
      <c r="N84" s="8">
        <f>ROUND(((900*(L82/10)*(N82/10))/(F83*10*K82))*9.8,1)</f>
        <v>33.4</v>
      </c>
      <c r="O84" s="77" t="s">
        <v>212</v>
      </c>
      <c r="Q84" s="40" t="s">
        <v>64</v>
      </c>
      <c r="R84" s="102">
        <f>IF(N84&gt;=15.6,15.6,N84)</f>
        <v>15.6</v>
      </c>
      <c r="S84" s="77" t="s">
        <v>212</v>
      </c>
      <c r="T84" s="22"/>
    </row>
    <row r="85" spans="11:20" ht="15.75" customHeight="1">
      <c r="K85" s="22"/>
      <c r="L85" s="22"/>
      <c r="N85" s="36"/>
      <c r="R85" s="100"/>
      <c r="S85" s="101"/>
      <c r="T85" s="22"/>
    </row>
    <row r="86" spans="8:24" ht="15.75" customHeight="1">
      <c r="H86" s="22" t="s">
        <v>129</v>
      </c>
      <c r="K86" s="22"/>
      <c r="L86" s="22"/>
      <c r="N86" s="8">
        <f>ROUND(T69,1)</f>
        <v>5.8</v>
      </c>
      <c r="O86" s="30" t="s">
        <v>209</v>
      </c>
      <c r="Q86" s="8" t="str">
        <f>IF(N86&lt;=R82,"部材断面ＯＫです","部材断面変更する")</f>
        <v>部材断面ＯＫです</v>
      </c>
      <c r="R86" s="103"/>
      <c r="S86" s="104"/>
      <c r="T86" s="85"/>
      <c r="U86" s="78"/>
      <c r="V86" s="34"/>
      <c r="W86" s="34"/>
      <c r="X86" s="105"/>
    </row>
    <row r="87" spans="8:21" ht="15.75" customHeight="1">
      <c r="H87" s="22" t="s">
        <v>130</v>
      </c>
      <c r="N87" s="8">
        <f>ROUND(U65/(R84*T82),3)</f>
        <v>0.027</v>
      </c>
      <c r="O87" s="80" t="str">
        <f>IF(N87&lt;=0.9,"≦","＞")</f>
        <v>≦</v>
      </c>
      <c r="P87" s="63">
        <v>0.9</v>
      </c>
      <c r="Q87" s="8" t="str">
        <f>IF(N87&lt;=P87,"部材断面ＯＫです","部材断面変更する")</f>
        <v>部材断面ＯＫです</v>
      </c>
      <c r="R87" s="66"/>
      <c r="S87" s="66"/>
      <c r="T87" s="66"/>
      <c r="U87" s="20"/>
    </row>
    <row r="88" spans="8:20" ht="15.75" customHeight="1">
      <c r="H88" s="22"/>
      <c r="N88" s="115"/>
      <c r="O88" s="116"/>
      <c r="P88" s="116"/>
      <c r="Q88" s="115"/>
      <c r="R88" s="117"/>
      <c r="S88" s="117"/>
      <c r="T88" s="117"/>
    </row>
    <row r="89" spans="2:20" ht="15.75" customHeight="1" thickBot="1">
      <c r="B89" s="22" t="s">
        <v>131</v>
      </c>
      <c r="H89" s="22"/>
      <c r="N89" s="118"/>
      <c r="O89" s="119"/>
      <c r="P89" s="119"/>
      <c r="Q89" s="118"/>
      <c r="R89" s="120"/>
      <c r="S89" s="120"/>
      <c r="T89" s="120"/>
    </row>
    <row r="90" spans="6:20" ht="15.75" customHeight="1" thickBot="1">
      <c r="F90" s="40" t="s">
        <v>132</v>
      </c>
      <c r="H90" s="22"/>
      <c r="J90" s="40" t="s">
        <v>133</v>
      </c>
      <c r="K90" s="106">
        <v>0.45</v>
      </c>
      <c r="L90" s="20"/>
      <c r="N90" s="126"/>
      <c r="O90" s="148" t="s">
        <v>134</v>
      </c>
      <c r="P90" s="149"/>
      <c r="Q90" s="150"/>
      <c r="R90" s="129"/>
      <c r="S90" s="120"/>
      <c r="T90" s="120"/>
    </row>
    <row r="91" spans="6:20" ht="15.75" customHeight="1">
      <c r="F91" s="22" t="s">
        <v>135</v>
      </c>
      <c r="H91" s="22"/>
      <c r="J91" s="40" t="s">
        <v>136</v>
      </c>
      <c r="K91" s="106">
        <v>16</v>
      </c>
      <c r="L91" s="20"/>
      <c r="N91" s="127" t="s">
        <v>137</v>
      </c>
      <c r="O91" s="127"/>
      <c r="P91" s="124">
        <v>16.7</v>
      </c>
      <c r="Q91" s="125" t="s">
        <v>29</v>
      </c>
      <c r="R91" s="129"/>
      <c r="S91" s="120"/>
      <c r="T91" s="120"/>
    </row>
    <row r="92" spans="6:20" ht="15.75" customHeight="1">
      <c r="F92" s="40" t="s">
        <v>138</v>
      </c>
      <c r="H92" s="22"/>
      <c r="J92" s="40" t="s">
        <v>139</v>
      </c>
      <c r="K92" s="106">
        <v>1</v>
      </c>
      <c r="L92" s="20"/>
      <c r="N92" s="128" t="s">
        <v>140</v>
      </c>
      <c r="O92" s="128"/>
      <c r="P92" s="116">
        <v>29.6</v>
      </c>
      <c r="Q92" s="115" t="s">
        <v>29</v>
      </c>
      <c r="R92" s="129"/>
      <c r="S92" s="120"/>
      <c r="T92" s="120"/>
    </row>
    <row r="93" spans="6:20" ht="15.75" customHeight="1" thickBot="1">
      <c r="F93" s="22" t="s">
        <v>141</v>
      </c>
      <c r="H93" s="22"/>
      <c r="J93" s="106">
        <v>1</v>
      </c>
      <c r="K93" s="80" t="str">
        <f>IF(J93=2,"短期",IF(J93=1,"長期","Χ"))</f>
        <v>長期</v>
      </c>
      <c r="L93" s="20"/>
      <c r="N93" s="128" t="s">
        <v>142</v>
      </c>
      <c r="O93" s="128"/>
      <c r="P93" s="116">
        <v>46.2</v>
      </c>
      <c r="Q93" s="115" t="s">
        <v>29</v>
      </c>
      <c r="R93" s="129"/>
      <c r="S93" s="120"/>
      <c r="T93" s="120"/>
    </row>
    <row r="94" spans="6:20" ht="15.75" customHeight="1">
      <c r="F94" s="22" t="s">
        <v>143</v>
      </c>
      <c r="H94" s="22"/>
      <c r="J94" s="36"/>
      <c r="K94" s="106">
        <v>29.6</v>
      </c>
      <c r="L94" s="20"/>
      <c r="N94" s="125"/>
      <c r="O94" s="124"/>
      <c r="P94" s="124"/>
      <c r="Q94" s="125"/>
      <c r="R94" s="120"/>
      <c r="S94" s="120"/>
      <c r="T94" s="120"/>
    </row>
    <row r="95" spans="8:20" ht="15.75" customHeight="1">
      <c r="H95" s="22"/>
      <c r="K95" s="36"/>
      <c r="N95" s="118"/>
      <c r="O95" s="119"/>
      <c r="P95" s="119"/>
      <c r="Q95" s="118"/>
      <c r="R95" s="120"/>
      <c r="S95" s="120"/>
      <c r="T95" s="120"/>
    </row>
    <row r="96" spans="6:20" ht="15.75" customHeight="1">
      <c r="F96" s="22" t="s">
        <v>144</v>
      </c>
      <c r="H96" s="22"/>
      <c r="K96" s="8">
        <f>ROUND(R$67,2)</f>
        <v>1.04</v>
      </c>
      <c r="L96" s="20"/>
      <c r="N96" s="118"/>
      <c r="O96" s="119"/>
      <c r="P96" s="119"/>
      <c r="Q96" s="118"/>
      <c r="R96" s="120"/>
      <c r="S96" s="120"/>
      <c r="T96" s="120"/>
    </row>
    <row r="97" spans="6:20" ht="15.75" customHeight="1">
      <c r="F97" s="22" t="s">
        <v>145</v>
      </c>
      <c r="H97" s="22"/>
      <c r="K97" s="8">
        <f>ROUNDUP(K96/K94,0)</f>
        <v>1</v>
      </c>
      <c r="L97" s="20"/>
      <c r="N97" s="118"/>
      <c r="O97" s="119"/>
      <c r="P97" s="119"/>
      <c r="Q97" s="118"/>
      <c r="R97" s="120"/>
      <c r="S97" s="120"/>
      <c r="T97" s="120"/>
    </row>
    <row r="98" spans="6:20" ht="15.75" customHeight="1">
      <c r="F98" s="22" t="s">
        <v>146</v>
      </c>
      <c r="H98" s="22"/>
      <c r="K98" s="106">
        <v>250</v>
      </c>
      <c r="L98" s="20"/>
      <c r="N98" s="118"/>
      <c r="O98" s="119"/>
      <c r="P98" s="119"/>
      <c r="Q98" s="118"/>
      <c r="R98" s="120"/>
      <c r="S98" s="120"/>
      <c r="T98" s="120"/>
    </row>
    <row r="99" spans="6:21" ht="15.75" customHeight="1">
      <c r="F99" s="22"/>
      <c r="H99" s="22"/>
      <c r="K99" s="36"/>
      <c r="L99" s="22" t="s">
        <v>147</v>
      </c>
      <c r="N99" s="118"/>
      <c r="O99" s="119" t="s">
        <v>148</v>
      </c>
      <c r="P99" s="80">
        <f>ROUND(K91,0)</f>
        <v>16</v>
      </c>
      <c r="Q99" s="121" t="s">
        <v>149</v>
      </c>
      <c r="R99" s="122" t="s">
        <v>150</v>
      </c>
      <c r="S99" s="120"/>
      <c r="T99" s="83">
        <v>2</v>
      </c>
      <c r="U99" s="26" t="s">
        <v>151</v>
      </c>
    </row>
    <row r="100" spans="8:21" ht="15.75" customHeight="1">
      <c r="H100" s="22"/>
      <c r="N100" s="118"/>
      <c r="O100" s="119"/>
      <c r="P100" s="116"/>
      <c r="Q100" s="118"/>
      <c r="R100" s="120"/>
      <c r="S100" s="120"/>
      <c r="T100" s="117"/>
      <c r="U100" s="123"/>
    </row>
    <row r="101" spans="2:24" ht="15.75" customHeight="1">
      <c r="B101" s="40" t="s">
        <v>152</v>
      </c>
      <c r="F101" s="40" t="s">
        <v>153</v>
      </c>
      <c r="H101" s="22"/>
      <c r="I101" s="25">
        <v>2</v>
      </c>
      <c r="J101" s="47"/>
      <c r="K101" s="107" t="str">
        <f>IF(I101=2,"溝形鋼断面とする",IF(I101=1,"プレート断面とする",""))</f>
        <v>溝形鋼断面とする</v>
      </c>
      <c r="L101" s="36"/>
      <c r="M101" s="36"/>
      <c r="N101" s="70"/>
      <c r="O101" s="108" t="str">
        <f>IF(I101=2,"（３）ササラ（溝形鋼の検証参照して下さい",IF(I101=1,"（２）必要ササラ桁板厚の設計参照して下さい",""))</f>
        <v>（３）ササラ（溝形鋼の検証参照して下さい</v>
      </c>
      <c r="P101" s="71"/>
      <c r="Q101" s="70"/>
      <c r="R101" s="69"/>
      <c r="S101" s="69"/>
      <c r="T101" s="69"/>
      <c r="U101" s="36"/>
      <c r="V101" s="36"/>
      <c r="W101" s="36"/>
      <c r="X101" s="20"/>
    </row>
    <row r="102" spans="8:23" ht="15.75" customHeight="1">
      <c r="H102" s="22"/>
      <c r="I102" s="23" t="s">
        <v>154</v>
      </c>
      <c r="J102" s="36"/>
      <c r="K102" s="36"/>
      <c r="L102" s="36"/>
      <c r="M102" s="36"/>
      <c r="N102" s="115"/>
      <c r="O102" s="116"/>
      <c r="P102" s="116"/>
      <c r="Q102" s="115"/>
      <c r="R102" s="117"/>
      <c r="S102" s="117"/>
      <c r="T102" s="117"/>
      <c r="U102" s="36"/>
      <c r="V102" s="36"/>
      <c r="W102" s="36"/>
    </row>
    <row r="103" spans="8:20" ht="15.75" customHeight="1">
      <c r="H103" s="22"/>
      <c r="N103" s="118"/>
      <c r="O103" s="119"/>
      <c r="P103" s="119"/>
      <c r="Q103" s="118"/>
      <c r="R103" s="120"/>
      <c r="S103" s="120"/>
      <c r="T103" s="120"/>
    </row>
    <row r="104" spans="8:20" ht="15.75" customHeight="1" thickBot="1">
      <c r="H104" s="22"/>
      <c r="N104" s="140"/>
      <c r="O104" s="141"/>
      <c r="P104" s="119"/>
      <c r="Q104" s="118"/>
      <c r="R104" s="120"/>
      <c r="S104" s="120"/>
      <c r="T104" s="120"/>
    </row>
    <row r="105" spans="2:19" ht="27" customHeight="1" thickBot="1" thickTop="1">
      <c r="B105" s="151" t="s">
        <v>201</v>
      </c>
      <c r="C105" s="151"/>
      <c r="D105" s="151"/>
      <c r="E105" s="151"/>
      <c r="F105" s="152"/>
      <c r="G105" s="153" t="s">
        <v>155</v>
      </c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</row>
    <row r="106" spans="2:19" ht="15.75" customHeight="1" thickTop="1">
      <c r="B106" s="132"/>
      <c r="C106" s="39"/>
      <c r="D106" s="133"/>
      <c r="E106" s="133"/>
      <c r="F106" s="39"/>
      <c r="G106" s="134"/>
      <c r="H106" s="39"/>
      <c r="I106" s="138"/>
      <c r="J106" s="138"/>
      <c r="K106" s="139"/>
      <c r="L106" s="135"/>
      <c r="M106" s="135"/>
      <c r="N106" s="136"/>
      <c r="O106" s="136"/>
      <c r="P106" s="136"/>
      <c r="Q106" s="136"/>
      <c r="R106" s="136"/>
      <c r="S106" s="44"/>
    </row>
    <row r="107" spans="2:19" ht="15.75" customHeight="1">
      <c r="B107" s="131" t="s">
        <v>156</v>
      </c>
      <c r="C107" s="18"/>
      <c r="D107" s="18"/>
      <c r="E107" s="18"/>
      <c r="F107" s="18"/>
      <c r="G107" s="131" t="s">
        <v>157</v>
      </c>
      <c r="H107" s="137"/>
      <c r="I107" s="7" t="s">
        <v>35</v>
      </c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5:18" ht="15.75" customHeight="1">
      <c r="E108" s="22" t="s">
        <v>158</v>
      </c>
      <c r="H108" s="36"/>
      <c r="P108" s="21" t="s">
        <v>29</v>
      </c>
      <c r="R108" s="21" t="s">
        <v>35</v>
      </c>
    </row>
    <row r="109" spans="11:21" ht="15.75" customHeight="1">
      <c r="K109" s="11" t="s">
        <v>159</v>
      </c>
      <c r="L109" s="25"/>
      <c r="M109" s="7" t="s">
        <v>29</v>
      </c>
      <c r="N109" s="10" t="s">
        <v>148</v>
      </c>
      <c r="O109" s="21" t="s">
        <v>7</v>
      </c>
      <c r="P109" s="25"/>
      <c r="Q109" s="28"/>
      <c r="R109" s="25"/>
      <c r="S109" s="28" t="s">
        <v>7</v>
      </c>
      <c r="T109" s="109">
        <f>ROUND(P109*R109,2)</f>
        <v>0</v>
      </c>
      <c r="U109" s="7" t="s">
        <v>26</v>
      </c>
    </row>
    <row r="110" spans="12:20" ht="15.75" customHeight="1">
      <c r="L110" s="36"/>
      <c r="P110" s="9" t="s">
        <v>29</v>
      </c>
      <c r="R110" s="36"/>
      <c r="T110" s="36"/>
    </row>
    <row r="111" spans="14:21" ht="15.75" customHeight="1">
      <c r="N111" s="10" t="s">
        <v>160</v>
      </c>
      <c r="O111" s="21" t="s">
        <v>7</v>
      </c>
      <c r="P111" s="25"/>
      <c r="Q111" s="28"/>
      <c r="R111" s="25"/>
      <c r="S111" s="28" t="s">
        <v>7</v>
      </c>
      <c r="T111" s="109">
        <f>ROUND(P111*R111,2)</f>
        <v>0</v>
      </c>
      <c r="U111" s="7" t="s">
        <v>29</v>
      </c>
    </row>
    <row r="112" spans="16:20" ht="15.75" customHeight="1">
      <c r="P112" s="36"/>
      <c r="R112" s="36"/>
      <c r="T112" s="36"/>
    </row>
    <row r="113" spans="3:18" ht="15.75" customHeight="1">
      <c r="C113" s="40" t="s">
        <v>161</v>
      </c>
      <c r="G113" s="22" t="s">
        <v>213</v>
      </c>
      <c r="K113" s="25">
        <v>26</v>
      </c>
      <c r="L113" s="7" t="s">
        <v>35</v>
      </c>
      <c r="N113" s="40" t="s">
        <v>162</v>
      </c>
      <c r="Q113" s="25">
        <v>1.2</v>
      </c>
      <c r="R113" s="20"/>
    </row>
    <row r="114" spans="11:17" ht="15.75" customHeight="1">
      <c r="K114" s="36"/>
      <c r="Q114" s="36"/>
    </row>
    <row r="115" spans="11:15" ht="15.75" customHeight="1">
      <c r="K115" s="40" t="s">
        <v>26</v>
      </c>
      <c r="M115" s="40" t="s">
        <v>163</v>
      </c>
      <c r="N115" s="22"/>
      <c r="O115" s="22" t="s">
        <v>36</v>
      </c>
    </row>
    <row r="116" spans="4:20" ht="15.75" customHeight="1">
      <c r="D116" s="40" t="s">
        <v>37</v>
      </c>
      <c r="I116" s="40" t="s">
        <v>38</v>
      </c>
      <c r="J116" s="22" t="s">
        <v>39</v>
      </c>
      <c r="K116" s="25">
        <v>58.24</v>
      </c>
      <c r="L116" s="28" t="s">
        <v>164</v>
      </c>
      <c r="M116" s="25">
        <v>20</v>
      </c>
      <c r="N116" s="28" t="s">
        <v>41</v>
      </c>
      <c r="O116" s="21" t="s">
        <v>7</v>
      </c>
      <c r="P116" s="110">
        <f>ROUND(SQRT(K116*Q113*6/(M116*14)),2)</f>
        <v>1.22</v>
      </c>
      <c r="Q116" s="28" t="s">
        <v>35</v>
      </c>
      <c r="R116" s="25">
        <v>16</v>
      </c>
      <c r="S116" s="26" t="s">
        <v>43</v>
      </c>
      <c r="T116" s="22"/>
    </row>
    <row r="117" spans="11:18" ht="15.75" customHeight="1">
      <c r="K117" s="36"/>
      <c r="M117" s="36"/>
      <c r="P117" s="36"/>
      <c r="R117" s="93" t="s">
        <v>75</v>
      </c>
    </row>
    <row r="118" spans="4:21" ht="15.75" customHeight="1">
      <c r="D118" s="22"/>
      <c r="F118" s="22" t="s">
        <v>214</v>
      </c>
      <c r="G118" s="22"/>
      <c r="H118" s="22"/>
      <c r="N118" s="22" t="s">
        <v>165</v>
      </c>
      <c r="O118" s="21" t="s">
        <v>21</v>
      </c>
      <c r="P118" s="25">
        <v>2.24</v>
      </c>
      <c r="Q118" s="28" t="s">
        <v>21</v>
      </c>
      <c r="R118" s="25">
        <v>0.26</v>
      </c>
      <c r="S118" s="28" t="s">
        <v>7</v>
      </c>
      <c r="T118" s="109">
        <f>ROUND(47.6*Q113*P118*R118*R118,2)</f>
        <v>8.65</v>
      </c>
      <c r="U118" s="28" t="s">
        <v>209</v>
      </c>
    </row>
    <row r="119" spans="11:20" ht="15.75" customHeight="1">
      <c r="K119" s="21" t="s">
        <v>209</v>
      </c>
      <c r="M119" s="21" t="s">
        <v>35</v>
      </c>
      <c r="N119" s="10" t="s">
        <v>44</v>
      </c>
      <c r="P119" s="36"/>
      <c r="R119" s="36"/>
      <c r="T119" s="36"/>
    </row>
    <row r="120" spans="4:20" ht="15.75" customHeight="1">
      <c r="D120" s="40" t="s">
        <v>45</v>
      </c>
      <c r="I120" s="40" t="s">
        <v>38</v>
      </c>
      <c r="J120" s="22" t="s">
        <v>39</v>
      </c>
      <c r="K120" s="25">
        <v>8.65</v>
      </c>
      <c r="L120" s="26" t="s">
        <v>46</v>
      </c>
      <c r="M120" s="25">
        <v>20</v>
      </c>
      <c r="N120" s="26" t="s">
        <v>47</v>
      </c>
      <c r="O120" s="21" t="s">
        <v>7</v>
      </c>
      <c r="P120" s="109">
        <f>ROUNDUP((K120*12/M120)^0.34,2)</f>
        <v>1.76</v>
      </c>
      <c r="Q120" s="28" t="s">
        <v>35</v>
      </c>
      <c r="R120" s="25">
        <v>19</v>
      </c>
      <c r="S120" s="26" t="s">
        <v>43</v>
      </c>
      <c r="T120" s="22"/>
    </row>
    <row r="121" spans="11:18" ht="14.25">
      <c r="K121" s="36"/>
      <c r="M121" s="36"/>
      <c r="P121" s="36"/>
      <c r="R121" s="36"/>
    </row>
    <row r="122" spans="15:18" ht="15.75" customHeight="1">
      <c r="O122" s="12" t="s">
        <v>166</v>
      </c>
      <c r="P122" s="111" t="s">
        <v>167</v>
      </c>
      <c r="Q122" s="112"/>
      <c r="R122" s="26" t="s">
        <v>91</v>
      </c>
    </row>
    <row r="123" spans="16:17" ht="15.75" customHeight="1">
      <c r="P123" s="36"/>
      <c r="Q123" s="36"/>
    </row>
    <row r="124" ht="15.75" customHeight="1"/>
    <row r="125" spans="2:6" ht="15.75" customHeight="1">
      <c r="B125" s="22" t="s">
        <v>168</v>
      </c>
      <c r="F125" s="22" t="s">
        <v>169</v>
      </c>
    </row>
    <row r="126" ht="15.75" customHeight="1"/>
    <row r="127" spans="6:18" ht="15.75" customHeight="1">
      <c r="F127" s="40" t="s">
        <v>170</v>
      </c>
      <c r="H127" s="22" t="s">
        <v>171</v>
      </c>
      <c r="I127" s="25">
        <v>4.48</v>
      </c>
      <c r="J127" s="26" t="s">
        <v>29</v>
      </c>
      <c r="P127" s="21" t="s">
        <v>29</v>
      </c>
      <c r="R127" s="21" t="s">
        <v>172</v>
      </c>
    </row>
    <row r="128" spans="3:21" ht="15.75" customHeight="1">
      <c r="C128" s="40" t="s">
        <v>77</v>
      </c>
      <c r="I128" s="36"/>
      <c r="N128" s="10" t="s">
        <v>173</v>
      </c>
      <c r="O128" s="21" t="s">
        <v>7</v>
      </c>
      <c r="P128" s="25">
        <v>4.48</v>
      </c>
      <c r="Q128" s="28" t="s">
        <v>21</v>
      </c>
      <c r="R128" s="25">
        <v>10</v>
      </c>
      <c r="S128" s="28" t="s">
        <v>7</v>
      </c>
      <c r="T128" s="109">
        <f>ROUND(P128*R128,2)</f>
        <v>44.8</v>
      </c>
      <c r="U128" s="7" t="s">
        <v>26</v>
      </c>
    </row>
    <row r="129" spans="6:20" ht="15.75" customHeight="1">
      <c r="F129" s="21" t="s">
        <v>174</v>
      </c>
      <c r="G129" s="25">
        <v>15.6</v>
      </c>
      <c r="H129" s="7" t="s">
        <v>215</v>
      </c>
      <c r="I129" s="21" t="s">
        <v>175</v>
      </c>
      <c r="J129" s="21" t="s">
        <v>7</v>
      </c>
      <c r="K129" s="25">
        <v>25.7</v>
      </c>
      <c r="L129" s="81" t="s">
        <v>209</v>
      </c>
      <c r="M129" s="24"/>
      <c r="P129" s="9" t="s">
        <v>29</v>
      </c>
      <c r="R129" s="50" t="s">
        <v>176</v>
      </c>
      <c r="T129" s="36"/>
    </row>
    <row r="130" spans="7:21" ht="15.75" customHeight="1">
      <c r="G130" s="36"/>
      <c r="K130" s="36"/>
      <c r="N130" s="10" t="s">
        <v>177</v>
      </c>
      <c r="O130" s="21" t="s">
        <v>7</v>
      </c>
      <c r="P130" s="25">
        <v>4.48</v>
      </c>
      <c r="Q130" s="28" t="s">
        <v>21</v>
      </c>
      <c r="R130" s="25">
        <v>15.6</v>
      </c>
      <c r="S130" s="28" t="s">
        <v>7</v>
      </c>
      <c r="T130" s="109">
        <f>ROUND(P130*R130,2)</f>
        <v>69.89</v>
      </c>
      <c r="U130" s="7" t="s">
        <v>26</v>
      </c>
    </row>
    <row r="131" spans="3:20" ht="15.75" customHeight="1">
      <c r="C131" s="22" t="s">
        <v>178</v>
      </c>
      <c r="P131" s="36"/>
      <c r="R131" s="36"/>
      <c r="T131" s="36"/>
    </row>
    <row r="132" spans="5:8" ht="15.75" customHeight="1">
      <c r="E132" s="40" t="s">
        <v>179</v>
      </c>
      <c r="G132" s="25">
        <v>10</v>
      </c>
      <c r="H132" s="7" t="s">
        <v>215</v>
      </c>
    </row>
    <row r="133" spans="7:15" ht="15.75" customHeight="1">
      <c r="G133" s="36"/>
      <c r="K133" s="40" t="s">
        <v>26</v>
      </c>
      <c r="M133" s="40" t="s">
        <v>163</v>
      </c>
      <c r="O133" s="22" t="s">
        <v>36</v>
      </c>
    </row>
    <row r="134" spans="3:19" ht="15.75" customHeight="1">
      <c r="C134" s="22" t="s">
        <v>180</v>
      </c>
      <c r="I134" s="40" t="s">
        <v>38</v>
      </c>
      <c r="J134" s="22" t="s">
        <v>39</v>
      </c>
      <c r="K134" s="25">
        <v>44.8</v>
      </c>
      <c r="L134" s="28" t="s">
        <v>40</v>
      </c>
      <c r="M134" s="25">
        <v>45</v>
      </c>
      <c r="N134" s="28" t="s">
        <v>41</v>
      </c>
      <c r="O134" s="21" t="s">
        <v>7</v>
      </c>
      <c r="P134" s="110">
        <f>ROUND(SQRT(K134*6/(M134*14)),2)</f>
        <v>0.65</v>
      </c>
      <c r="Q134" s="28" t="s">
        <v>35</v>
      </c>
      <c r="R134" s="25">
        <v>19</v>
      </c>
      <c r="S134" s="26" t="s">
        <v>43</v>
      </c>
    </row>
    <row r="135" spans="11:18" ht="15.75" customHeight="1">
      <c r="K135" s="50" t="s">
        <v>26</v>
      </c>
      <c r="M135" s="50" t="s">
        <v>163</v>
      </c>
      <c r="O135" s="22" t="s">
        <v>36</v>
      </c>
      <c r="P135" s="36"/>
      <c r="R135" s="36"/>
    </row>
    <row r="136" spans="3:19" ht="15.75" customHeight="1">
      <c r="C136" s="22" t="s">
        <v>181</v>
      </c>
      <c r="I136" s="40" t="s">
        <v>38</v>
      </c>
      <c r="J136" s="22" t="s">
        <v>39</v>
      </c>
      <c r="K136" s="25">
        <v>70</v>
      </c>
      <c r="L136" s="28" t="s">
        <v>40</v>
      </c>
      <c r="M136" s="25">
        <v>45</v>
      </c>
      <c r="N136" s="28" t="s">
        <v>182</v>
      </c>
      <c r="O136" s="21" t="s">
        <v>7</v>
      </c>
      <c r="P136" s="110">
        <f>ROUND(SQRT(K136*6/(M136*21)),2)</f>
        <v>0.67</v>
      </c>
      <c r="Q136" s="28" t="s">
        <v>35</v>
      </c>
      <c r="R136" s="25">
        <v>19</v>
      </c>
      <c r="S136" s="26" t="s">
        <v>43</v>
      </c>
    </row>
    <row r="137" spans="11:18" ht="15.75" customHeight="1">
      <c r="K137" s="36"/>
      <c r="M137" s="36"/>
      <c r="P137" s="36"/>
      <c r="Q137" s="21" t="s">
        <v>75</v>
      </c>
      <c r="R137" s="36"/>
    </row>
    <row r="138" spans="8:21" ht="15.75" customHeight="1">
      <c r="H138" s="22"/>
      <c r="M138" s="12" t="s">
        <v>216</v>
      </c>
      <c r="N138" s="25">
        <v>70</v>
      </c>
      <c r="O138" s="28" t="s">
        <v>21</v>
      </c>
      <c r="P138" s="25">
        <v>15.6</v>
      </c>
      <c r="Q138" s="28" t="s">
        <v>22</v>
      </c>
      <c r="R138" s="21" t="s">
        <v>183</v>
      </c>
      <c r="S138" s="21" t="s">
        <v>7</v>
      </c>
      <c r="T138" s="109">
        <f>ROUND(N138*P138*P138/(2*21000*K129),2)</f>
        <v>0.02</v>
      </c>
      <c r="U138" s="7" t="s">
        <v>35</v>
      </c>
    </row>
    <row r="139" spans="14:20" ht="15.75" customHeight="1">
      <c r="N139" s="36"/>
      <c r="P139" s="36"/>
      <c r="T139" s="36"/>
    </row>
    <row r="140" spans="17:24" ht="15.75" customHeight="1">
      <c r="Q140" s="22" t="s">
        <v>184</v>
      </c>
      <c r="R140" s="21" t="s">
        <v>7</v>
      </c>
      <c r="S140" s="22" t="s">
        <v>185</v>
      </c>
      <c r="T140" s="110">
        <f>ROUND(G129/T138,2)</f>
        <v>780</v>
      </c>
      <c r="U140" s="113" t="str">
        <f>IF(T140&gt;=W140,"ＯＫ","変更")</f>
        <v>ＯＫ</v>
      </c>
      <c r="V140" s="28" t="s">
        <v>95</v>
      </c>
      <c r="W140" s="25">
        <v>300</v>
      </c>
      <c r="X140" s="20"/>
    </row>
    <row r="141" spans="20:23" ht="15.75" customHeight="1">
      <c r="T141" s="36"/>
      <c r="U141" s="36"/>
      <c r="W141" s="36"/>
    </row>
    <row r="142" spans="11:18" ht="15.75" customHeight="1">
      <c r="K142" s="22" t="s">
        <v>186</v>
      </c>
      <c r="P142" s="13" t="s">
        <v>187</v>
      </c>
      <c r="Q142" s="114"/>
      <c r="R142" s="26" t="s">
        <v>91</v>
      </c>
    </row>
    <row r="143" spans="16:17" ht="15.75" customHeight="1">
      <c r="P143" s="36"/>
      <c r="Q143" s="36"/>
    </row>
  </sheetData>
  <sheetProtection/>
  <mergeCells count="7">
    <mergeCell ref="O90:Q90"/>
    <mergeCell ref="B105:F105"/>
    <mergeCell ref="G105:S105"/>
    <mergeCell ref="C1:F1"/>
    <mergeCell ref="G1:S1"/>
    <mergeCell ref="C58:F58"/>
    <mergeCell ref="G58:S58"/>
  </mergeCells>
  <printOptions horizontalCentered="1"/>
  <pageMargins left="0.5513888888888889" right="0.39375" top="0.3541666666666667" bottom="0.39375" header="0.512" footer="0.512"/>
  <pageSetup orientation="portrait" paperSize="9" scale="64" r:id="rId2"/>
  <rowBreaks count="2" manualBreakCount="2">
    <brk id="56" max="23" man="1"/>
    <brk id="10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ueno2</cp:lastModifiedBy>
  <cp:lastPrinted>2010-07-26T01:33:57Z</cp:lastPrinted>
  <dcterms:modified xsi:type="dcterms:W3CDTF">2012-03-04T13:30:28Z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