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杭基礎　負の摩擦力に対する杭の支持力の検討" sheetId="1" r:id="rId1"/>
  </sheets>
  <definedNames>
    <definedName name="_xlnm.Print_Area" localSheetId="0">'杭基礎　負の摩擦力に対する杭の支持力の検討'!$A$1:$S$89</definedName>
  </definedNames>
  <calcPr fullCalcOnLoad="1"/>
</workbook>
</file>

<file path=xl/sharedStrings.xml><?xml version="1.0" encoding="utf-8"?>
<sst xmlns="http://schemas.openxmlformats.org/spreadsheetml/2006/main" count="143" uniqueCount="115">
  <si>
    <t>負の摩擦力に対する杭の支持力の検討</t>
  </si>
  <si>
    <t>（ａ）負の摩擦力の設計検討式</t>
  </si>
  <si>
    <t>（Ｑａ＋Ｑｆｎ）／Ａｐ≦ｓσ</t>
  </si>
  <si>
    <t>（１）</t>
  </si>
  <si>
    <t>Ｑａ：杭頭に加えられる長期荷重（ＫＮ）</t>
  </si>
  <si>
    <t>Ｑｐ：杭先端の極限力（ＫＮ） （支持力係数）*α*β*Ｎ(平均Ｎ）*Ａｐ</t>
  </si>
  <si>
    <t>Ｑａ＋Ｑｆｎ≦（Ｑｐ＋Ｑｆｐ）／１．２</t>
  </si>
  <si>
    <t>（２）</t>
  </si>
  <si>
    <t>（ｂ）負の摩擦力及び正の摩擦力検討式</t>
  </si>
  <si>
    <t>ψ：杭の周長(m）</t>
  </si>
  <si>
    <t>Ｑｆｎ＝ψ*∫τｄｚ</t>
  </si>
  <si>
    <t>Ｌｎ：中立点までの距離（m）Ｌn＝０．９５Ｌa</t>
  </si>
  <si>
    <t>Ｑｆｐ＝ψ*∫τｄｚ</t>
  </si>
  <si>
    <t>Ｌ：杭の全長（m）</t>
  </si>
  <si>
    <t>Ｌa：圧密層下面までの深度（m）</t>
  </si>
  <si>
    <t>τ：杭周面の摩擦力度</t>
  </si>
  <si>
    <t>粘性土：τ＝３＋Ｎ／５</t>
  </si>
  <si>
    <t>砂質土：τ＝０．３σz（σｚ：有効圧）</t>
  </si>
  <si>
    <t>（ｃ）設計条件</t>
  </si>
  <si>
    <t>ＳＬ塗布層はτ＝０．２ｄｚ（ＳＩ単位２ｄｚ）</t>
  </si>
  <si>
    <t>ＳＬ塗布層</t>
  </si>
  <si>
    <t>１：有り　２：無し</t>
  </si>
  <si>
    <t>地下水位（GLよりの深さ）ｈ１(m）</t>
  </si>
  <si>
    <t>基礎の底ｈ２（m）</t>
  </si>
  <si>
    <t>水位レベルにて上端深度を区切り、土重量は「ｒ－10」KN/m^3にて入力する。</t>
  </si>
  <si>
    <t>杭全長Ｌ（m）</t>
  </si>
  <si>
    <t>圧密層下面までの深度Ｌａ（ｍ）</t>
  </si>
  <si>
    <t>中立点までの距離（m）Ｌn＝０．９５・Ｌa</t>
  </si>
  <si>
    <t>中立点までの距離と深度（Ｂ欄の上端深度）とは同じ数値で区切るようにすると</t>
  </si>
  <si>
    <t>正負の摩擦の計算を行う様になる</t>
  </si>
  <si>
    <t>土質名称</t>
  </si>
  <si>
    <t>１：埋土　２：シルト（砂質シルトも含む）　３：砂（シルト質砂、細砂含む）　４：粘土（砂混じり粘土、硬質粘土含む）　５：砂礫　６：礫</t>
  </si>
  <si>
    <t>（ｄ）摩擦応力度の計算</t>
  </si>
  <si>
    <t>h2,La深度で区切る事</t>
  </si>
  <si>
    <t>各層の摩擦力度の計算</t>
  </si>
  <si>
    <t>註）土重量＝ｒ－１０で入力</t>
  </si>
  <si>
    <t>註）ＳＬ塗布層は粘土層とする</t>
  </si>
  <si>
    <t>ＧＬ以深の深度</t>
  </si>
  <si>
    <t>層厚</t>
  </si>
  <si>
    <t>土重量</t>
  </si>
  <si>
    <t>平均Ｎ値</t>
  </si>
  <si>
    <t>土被り圧</t>
  </si>
  <si>
    <t>有効圧</t>
  </si>
  <si>
    <t>砂τs</t>
  </si>
  <si>
    <t>ＳＬ塗布</t>
  </si>
  <si>
    <t>粘土τc</t>
  </si>
  <si>
    <t>負の摩擦</t>
  </si>
  <si>
    <t>正の摩擦</t>
  </si>
  <si>
    <t>上端深度</t>
  </si>
  <si>
    <t>下端深度</t>
  </si>
  <si>
    <t>番号</t>
  </si>
  <si>
    <t>土質名</t>
  </si>
  <si>
    <t>（m）</t>
  </si>
  <si>
    <t>Δσｚ</t>
  </si>
  <si>
    <t>σｚ</t>
  </si>
  <si>
    <t>3+N/5</t>
  </si>
  <si>
    <t>2*dz</t>
  </si>
  <si>
    <t>0.3*σｚ</t>
  </si>
  <si>
    <t>τsｄｚ</t>
  </si>
  <si>
    <t>τcｄｚ</t>
  </si>
  <si>
    <t>～</t>
  </si>
  <si>
    <t>負の摩擦力の合計（ＫＮ/ｍ）</t>
  </si>
  <si>
    <t>∫τｄｚ</t>
  </si>
  <si>
    <t>①</t>
  </si>
  <si>
    <t>②</t>
  </si>
  <si>
    <t>（ｅ）負の摩擦力に対する杭体強度の検討及び杭の支持力の検討</t>
  </si>
  <si>
    <t>杭種</t>
  </si>
  <si>
    <t>16-24</t>
  </si>
  <si>
    <t>16-22</t>
  </si>
  <si>
    <t>16-20</t>
  </si>
  <si>
    <t>16-18</t>
  </si>
  <si>
    <t>杭径</t>
  </si>
  <si>
    <t>杭軸部実断面積Aｐ</t>
  </si>
  <si>
    <t>杭軸部の周長ψ</t>
  </si>
  <si>
    <t>負の摩擦力</t>
  </si>
  <si>
    <t>Ｑfn=ψ・∫τdz</t>
  </si>
  <si>
    <t>正の摩擦力</t>
  </si>
  <si>
    <t>Ｑfp=ψ・∫τdz</t>
  </si>
  <si>
    <t>負の摩擦力による杭体強度検討</t>
  </si>
  <si>
    <t>Ｑa＋Ｑｆｎ</t>
  </si>
  <si>
    <t>Ｑa＋Ｑｆｎ/Ap</t>
  </si>
  <si>
    <t>判定</t>
  </si>
  <si>
    <t>（Ｑａ＋Ｑｆｎ）／Ａｐ≦ｓｆｃ</t>
  </si>
  <si>
    <t>負の摩擦力による杭支持力検討</t>
  </si>
  <si>
    <t>支持力係数：場所打ち杭の時１５０　認定ＰＨＣ杭の時２５０　セメントミルク工法の時２００</t>
  </si>
  <si>
    <t>極限支持力Ｑｐ</t>
  </si>
  <si>
    <t>（支持力係数）</t>
  </si>
  <si>
    <t>α’（支持力補正係数）</t>
  </si>
  <si>
    <t>β（先端径の係数）</t>
  </si>
  <si>
    <t>Ｎ（杭先端平均Ｎ値）</t>
  </si>
  <si>
    <t>Ｑp=α’*β*Ｎ*Ａｐ</t>
  </si>
  <si>
    <t>Ｑａ＋Ｑｆｎ≦（Ｑｐ＋Ｑｆｐ）/1.2</t>
  </si>
  <si>
    <t>備考：α’（支持力補正係数）は薄層状の補正係数及び杭先端支持力地盤による補正係数（細砂層０．８５　礫層１．０）を表す。</t>
  </si>
  <si>
    <r>
      <t>軸部D1</t>
    </r>
    <r>
      <rPr>
        <sz val="12"/>
        <rFont val="ＭＳ Ｐゴシック"/>
        <family val="3"/>
      </rPr>
      <t xml:space="preserve">       </t>
    </r>
    <r>
      <rPr>
        <sz val="12"/>
        <rFont val="ＭＳ Ｐゴシック"/>
        <family val="3"/>
      </rPr>
      <t>（</t>
    </r>
    <r>
      <rPr>
        <sz val="12"/>
        <rFont val="ＭＳ Ｐゴシック"/>
        <family val="3"/>
      </rPr>
      <t>mm</t>
    </r>
    <r>
      <rPr>
        <sz val="12"/>
        <rFont val="ＭＳ Ｐゴシック"/>
        <family val="3"/>
      </rPr>
      <t>）</t>
    </r>
  </si>
  <si>
    <r>
      <t>拡底部D2</t>
    </r>
    <r>
      <rPr>
        <sz val="12"/>
        <rFont val="ＭＳ Ｐゴシック"/>
        <family val="3"/>
      </rPr>
      <t xml:space="preserve">   </t>
    </r>
    <r>
      <rPr>
        <sz val="12"/>
        <rFont val="ＭＳ Ｐゴシック"/>
        <family val="3"/>
      </rPr>
      <t>（</t>
    </r>
    <r>
      <rPr>
        <sz val="12"/>
        <rFont val="ＭＳ Ｐゴシック"/>
        <family val="3"/>
      </rPr>
      <t>mm</t>
    </r>
    <r>
      <rPr>
        <sz val="12"/>
        <rFont val="ＭＳ Ｐゴシック"/>
        <family val="3"/>
      </rPr>
      <t>）</t>
    </r>
  </si>
  <si>
    <t>杭基礎</t>
  </si>
  <si>
    <t>Ｑｆｎ：負の摩擦力により中立点に生じる杭最大耐力（ｋＮ）</t>
  </si>
  <si>
    <t>Ｑｆｐ：正の摩擦力（ｋＮ）</t>
  </si>
  <si>
    <r>
      <t>Ａｐ：杭の実断面積（m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</si>
  <si>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r>
      <t>ｓσ：杭材の短期許容圧縮応力度（Ｎ/</t>
    </r>
    <r>
      <rPr>
        <sz val="12"/>
        <rFont val="ＭＳ Ｐゴシック"/>
        <family val="3"/>
      </rPr>
      <t>mm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</si>
  <si>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r>
      <t>(</t>
    </r>
    <r>
      <rPr>
        <sz val="12"/>
        <rFont val="ＭＳ Ｐゴシック"/>
        <family val="3"/>
      </rPr>
      <t>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)</t>
    </r>
  </si>
  <si>
    <r>
      <t>(</t>
    </r>
    <r>
      <rPr>
        <sz val="12"/>
        <rFont val="ＭＳ Ｐゴシック"/>
        <family val="3"/>
      </rPr>
      <t>m</t>
    </r>
    <r>
      <rPr>
        <sz val="12"/>
        <rFont val="ＭＳ Ｐゴシック"/>
        <family val="3"/>
      </rPr>
      <t>)</t>
    </r>
  </si>
  <si>
    <r>
      <t>(N/m</t>
    </r>
    <r>
      <rPr>
        <sz val="12"/>
        <rFont val="ＭＳ Ｐゴシック"/>
        <family val="3"/>
      </rPr>
      <t>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)</t>
    </r>
  </si>
  <si>
    <r>
      <t>①∫τｄｚ(</t>
    </r>
    <r>
      <rPr>
        <sz val="12"/>
        <rFont val="ＭＳ Ｐゴシック"/>
        <family val="3"/>
      </rPr>
      <t>k</t>
    </r>
    <r>
      <rPr>
        <sz val="12"/>
        <rFont val="ＭＳ Ｐゴシック"/>
        <family val="3"/>
      </rPr>
      <t>N/m)</t>
    </r>
  </si>
  <si>
    <r>
      <t>②∫τｄｚ(</t>
    </r>
    <r>
      <rPr>
        <sz val="12"/>
        <rFont val="ＭＳ Ｐゴシック"/>
        <family val="3"/>
      </rPr>
      <t>k</t>
    </r>
    <r>
      <rPr>
        <sz val="12"/>
        <rFont val="ＭＳ Ｐゴシック"/>
        <family val="3"/>
      </rPr>
      <t>N/m)</t>
    </r>
  </si>
  <si>
    <r>
      <t>杭頭部の長期荷重Ｑa（</t>
    </r>
    <r>
      <rPr>
        <sz val="12"/>
        <rFont val="ＭＳ Ｐゴシック"/>
        <family val="3"/>
      </rPr>
      <t>k</t>
    </r>
    <r>
      <rPr>
        <sz val="12"/>
        <rFont val="ＭＳ Ｐゴシック"/>
        <family val="3"/>
      </rPr>
      <t>Ｎ）</t>
    </r>
  </si>
  <si>
    <r>
      <t>(</t>
    </r>
    <r>
      <rPr>
        <sz val="12"/>
        <rFont val="ＭＳ Ｐゴシック"/>
        <family val="3"/>
      </rPr>
      <t>k</t>
    </r>
    <r>
      <rPr>
        <sz val="12"/>
        <rFont val="ＭＳ Ｐゴシック"/>
        <family val="3"/>
      </rPr>
      <t>N)</t>
    </r>
  </si>
  <si>
    <r>
      <t>杭材の短期圧縮応力度ｓfc（N/m</t>
    </r>
    <r>
      <rPr>
        <sz val="12"/>
        <rFont val="ＭＳ Ｐゴシック"/>
        <family val="3"/>
      </rPr>
      <t>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</si>
  <si>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r>
      <t>Ｑｐ＋Ｑｆｐ(</t>
    </r>
    <r>
      <rPr>
        <sz val="12"/>
        <rFont val="ＭＳ Ｐゴシック"/>
        <family val="3"/>
      </rPr>
      <t>k</t>
    </r>
    <r>
      <rPr>
        <sz val="12"/>
        <rFont val="ＭＳ Ｐゴシック"/>
        <family val="3"/>
      </rPr>
      <t>N)</t>
    </r>
  </si>
  <si>
    <r>
      <t>Ｑｐ＋Ｑｆｐ/1.2(</t>
    </r>
    <r>
      <rPr>
        <sz val="12"/>
        <rFont val="ＭＳ Ｐゴシック"/>
        <family val="3"/>
      </rPr>
      <t>k</t>
    </r>
    <r>
      <rPr>
        <sz val="12"/>
        <rFont val="ＭＳ Ｐゴシック"/>
        <family val="3"/>
      </rPr>
      <t>N)</t>
    </r>
  </si>
  <si>
    <r>
      <t>正の摩擦力の合計(</t>
    </r>
    <r>
      <rPr>
        <sz val="12"/>
        <rFont val="ＭＳ Ｐゴシック"/>
        <family val="3"/>
      </rPr>
      <t>kN/m</t>
    </r>
    <r>
      <rPr>
        <sz val="12"/>
        <rFont val="ＭＳ Ｐゴシック"/>
        <family val="3"/>
      </rPr>
      <t>）</t>
    </r>
  </si>
  <si>
    <r>
      <t>砂質土及び粘土の負の摩擦力の合計（k</t>
    </r>
    <r>
      <rPr>
        <sz val="12"/>
        <rFont val="ＭＳ Ｐゴシック"/>
        <family val="3"/>
      </rPr>
      <t>N/m</t>
    </r>
    <r>
      <rPr>
        <sz val="12"/>
        <rFont val="ＭＳ Ｐゴシック"/>
        <family val="3"/>
      </rPr>
      <t>）</t>
    </r>
  </si>
  <si>
    <r>
      <t>砂質土及び粘土の正の摩擦力の合計(</t>
    </r>
    <r>
      <rPr>
        <sz val="12"/>
        <rFont val="ＭＳ Ｐゴシック"/>
        <family val="3"/>
      </rPr>
      <t>kN/m</t>
    </r>
    <r>
      <rPr>
        <sz val="12"/>
        <rFont val="ＭＳ Ｐゴシック"/>
        <family val="3"/>
      </rPr>
      <t>）</t>
    </r>
  </si>
  <si>
    <r>
      <t>kN/m</t>
    </r>
    <r>
      <rPr>
        <vertAlign val="superscript"/>
        <sz val="12"/>
        <rFont val="ＭＳ Ｐゴシック"/>
        <family val="3"/>
      </rPr>
      <t>3</t>
    </r>
  </si>
  <si>
    <r>
      <t>Ａｐ(先端面積</t>
    </r>
    <r>
      <rPr>
        <sz val="12"/>
        <rFont val="ＭＳ Ｐゴシック"/>
        <family val="3"/>
      </rPr>
      <t>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</si>
</sst>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vertAlign val="superscript"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176" fontId="4" fillId="33" borderId="10" xfId="0" applyNumberFormat="1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176" fontId="0" fillId="33" borderId="11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vertical="center"/>
    </xf>
    <xf numFmtId="0" fontId="0" fillId="34" borderId="11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35" borderId="18" xfId="0" applyNumberFormat="1" applyFont="1" applyFill="1" applyBorder="1" applyAlignment="1">
      <alignment horizontal="center" vertical="center"/>
    </xf>
    <xf numFmtId="2" fontId="0" fillId="33" borderId="19" xfId="0" applyNumberFormat="1" applyFont="1" applyFill="1" applyBorder="1" applyAlignment="1">
      <alignment vertical="center"/>
    </xf>
    <xf numFmtId="2" fontId="4" fillId="33" borderId="20" xfId="0" applyNumberFormat="1" applyFont="1" applyFill="1" applyBorder="1" applyAlignment="1">
      <alignment vertical="center"/>
    </xf>
    <xf numFmtId="2" fontId="0" fillId="33" borderId="20" xfId="0" applyNumberFormat="1" applyFont="1" applyFill="1" applyBorder="1" applyAlignment="1">
      <alignment vertical="center"/>
    </xf>
    <xf numFmtId="2" fontId="4" fillId="35" borderId="20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1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Continuous" vertical="center"/>
    </xf>
    <xf numFmtId="0" fontId="0" fillId="0" borderId="26" xfId="0" applyNumberFormat="1" applyBorder="1" applyAlignment="1">
      <alignment vertical="center"/>
    </xf>
    <xf numFmtId="0" fontId="0" fillId="0" borderId="28" xfId="0" applyNumberFormat="1" applyFont="1" applyBorder="1" applyAlignment="1">
      <alignment horizontal="centerContinuous" vertical="center"/>
    </xf>
    <xf numFmtId="176" fontId="0" fillId="33" borderId="26" xfId="0" applyNumberFormat="1" applyFont="1" applyFill="1" applyBorder="1" applyAlignment="1">
      <alignment vertical="center"/>
    </xf>
    <xf numFmtId="0" fontId="0" fillId="0" borderId="29" xfId="0" applyNumberFormat="1" applyFont="1" applyBorder="1" applyAlignment="1">
      <alignment horizontal="center" vertical="center"/>
    </xf>
    <xf numFmtId="176" fontId="0" fillId="33" borderId="29" xfId="0" applyNumberFormat="1" applyFont="1" applyFill="1" applyBorder="1" applyAlignment="1">
      <alignment vertical="center"/>
    </xf>
    <xf numFmtId="0" fontId="0" fillId="34" borderId="29" xfId="0" applyNumberFormat="1" applyFont="1" applyFill="1" applyBorder="1" applyAlignment="1">
      <alignment horizontal="center" vertical="center"/>
    </xf>
    <xf numFmtId="0" fontId="0" fillId="0" borderId="30" xfId="0" applyNumberForma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33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5" xfId="0" applyNumberFormat="1" applyFont="1" applyBorder="1" applyAlignment="1">
      <alignment horizontal="centerContinuous" vertical="center"/>
    </xf>
    <xf numFmtId="0" fontId="0" fillId="0" borderId="20" xfId="0" applyNumberFormat="1" applyFont="1" applyBorder="1" applyAlignment="1">
      <alignment horizontal="center" vertical="center"/>
    </xf>
    <xf numFmtId="0" fontId="0" fillId="33" borderId="35" xfId="0" applyNumberFormat="1" applyFont="1" applyFill="1" applyBorder="1" applyAlignment="1">
      <alignment vertical="center"/>
    </xf>
    <xf numFmtId="0" fontId="0" fillId="33" borderId="20" xfId="0" applyNumberFormat="1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176" fontId="0" fillId="33" borderId="20" xfId="0" applyNumberFormat="1" applyFont="1" applyFill="1" applyBorder="1" applyAlignment="1">
      <alignment vertical="center"/>
    </xf>
    <xf numFmtId="176" fontId="0" fillId="33" borderId="36" xfId="0" applyNumberFormat="1" applyFont="1" applyFill="1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0" borderId="38" xfId="0" applyNumberFormat="1" applyBorder="1" applyAlignment="1">
      <alignment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39" xfId="0" applyNumberFormat="1" applyBorder="1" applyAlignment="1">
      <alignment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176" fontId="0" fillId="34" borderId="39" xfId="0" applyNumberFormat="1" applyFont="1" applyFill="1" applyBorder="1" applyAlignment="1">
      <alignment vertical="center"/>
    </xf>
    <xf numFmtId="176" fontId="0" fillId="33" borderId="39" xfId="0" applyNumberFormat="1" applyFont="1" applyFill="1" applyBorder="1" applyAlignment="1">
      <alignment vertical="center"/>
    </xf>
    <xf numFmtId="0" fontId="0" fillId="33" borderId="39" xfId="0" applyNumberFormat="1" applyFont="1" applyFill="1" applyBorder="1" applyAlignment="1">
      <alignment vertical="center"/>
    </xf>
    <xf numFmtId="0" fontId="0" fillId="34" borderId="39" xfId="0" applyNumberFormat="1" applyFont="1" applyFill="1" applyBorder="1" applyAlignment="1">
      <alignment vertical="center"/>
    </xf>
    <xf numFmtId="0" fontId="0" fillId="0" borderId="42" xfId="0" applyNumberFormat="1" applyBorder="1" applyAlignment="1">
      <alignment vertical="center"/>
    </xf>
    <xf numFmtId="176" fontId="0" fillId="34" borderId="40" xfId="0" applyNumberFormat="1" applyFont="1" applyFill="1" applyBorder="1" applyAlignment="1">
      <alignment vertical="center"/>
    </xf>
    <xf numFmtId="176" fontId="0" fillId="33" borderId="40" xfId="0" applyNumberFormat="1" applyFont="1" applyFill="1" applyBorder="1" applyAlignment="1">
      <alignment vertical="center"/>
    </xf>
    <xf numFmtId="0" fontId="0" fillId="33" borderId="40" xfId="0" applyNumberFormat="1" applyFont="1" applyFill="1" applyBorder="1" applyAlignment="1">
      <alignment vertical="center"/>
    </xf>
    <xf numFmtId="0" fontId="0" fillId="34" borderId="40" xfId="0" applyNumberFormat="1" applyFont="1" applyFill="1" applyBorder="1" applyAlignment="1">
      <alignment vertical="center"/>
    </xf>
    <xf numFmtId="0" fontId="0" fillId="0" borderId="43" xfId="0" applyNumberFormat="1" applyBorder="1" applyAlignment="1">
      <alignment vertical="center"/>
    </xf>
    <xf numFmtId="0" fontId="0" fillId="0" borderId="40" xfId="0" applyNumberFormat="1" applyBorder="1" applyAlignment="1">
      <alignment vertical="center"/>
    </xf>
    <xf numFmtId="0" fontId="0" fillId="33" borderId="40" xfId="0" applyFont="1" applyFill="1" applyBorder="1" applyAlignment="1">
      <alignment vertical="center"/>
    </xf>
    <xf numFmtId="176" fontId="0" fillId="34" borderId="44" xfId="0" applyNumberFormat="1" applyFont="1" applyFill="1" applyBorder="1" applyAlignment="1">
      <alignment vertical="center"/>
    </xf>
    <xf numFmtId="176" fontId="0" fillId="33" borderId="44" xfId="0" applyNumberFormat="1" applyFont="1" applyFill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0" fillId="34" borderId="44" xfId="0" applyNumberFormat="1" applyFont="1" applyFill="1" applyBorder="1" applyAlignment="1">
      <alignment vertical="center"/>
    </xf>
    <xf numFmtId="0" fontId="0" fillId="0" borderId="44" xfId="0" applyNumberFormat="1" applyBorder="1" applyAlignment="1">
      <alignment vertical="center"/>
    </xf>
    <xf numFmtId="0" fontId="0" fillId="33" borderId="44" xfId="0" applyNumberFormat="1" applyFont="1" applyFill="1" applyBorder="1" applyAlignment="1">
      <alignment vertical="center"/>
    </xf>
    <xf numFmtId="0" fontId="0" fillId="0" borderId="45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35" borderId="28" xfId="0" applyNumberFormat="1" applyFont="1" applyFill="1" applyBorder="1" applyAlignment="1">
      <alignment vertical="center"/>
    </xf>
    <xf numFmtId="0" fontId="0" fillId="0" borderId="46" xfId="0" applyNumberFormat="1" applyFont="1" applyBorder="1" applyAlignment="1">
      <alignment horizontal="right" vertical="center"/>
    </xf>
    <xf numFmtId="0" fontId="0" fillId="35" borderId="46" xfId="0" applyNumberFormat="1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33" borderId="48" xfId="0" applyNumberFormat="1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50" xfId="0" applyNumberFormat="1" applyFont="1" applyFill="1" applyBorder="1" applyAlignment="1">
      <alignment vertical="center"/>
    </xf>
    <xf numFmtId="0" fontId="0" fillId="33" borderId="50" xfId="0" applyFont="1" applyFill="1" applyBorder="1" applyAlignment="1">
      <alignment vertical="center"/>
    </xf>
    <xf numFmtId="0" fontId="0" fillId="33" borderId="51" xfId="0" applyFont="1" applyFill="1" applyBorder="1" applyAlignment="1">
      <alignment vertical="center"/>
    </xf>
    <xf numFmtId="0" fontId="0" fillId="33" borderId="50" xfId="0" applyNumberFormat="1" applyFont="1" applyFill="1" applyBorder="1" applyAlignment="1">
      <alignment horizontal="right" vertical="center"/>
    </xf>
    <xf numFmtId="0" fontId="0" fillId="34" borderId="50" xfId="0" applyNumberFormat="1" applyFont="1" applyFill="1" applyBorder="1" applyAlignment="1">
      <alignment vertical="center"/>
    </xf>
    <xf numFmtId="0" fontId="0" fillId="34" borderId="51" xfId="0" applyNumberFormat="1" applyFont="1" applyFill="1" applyBorder="1" applyAlignment="1">
      <alignment vertical="center"/>
    </xf>
    <xf numFmtId="0" fontId="0" fillId="35" borderId="50" xfId="0" applyNumberFormat="1" applyFont="1" applyFill="1" applyBorder="1" applyAlignment="1">
      <alignment vertical="center"/>
    </xf>
    <xf numFmtId="0" fontId="0" fillId="35" borderId="51" xfId="0" applyNumberFormat="1" applyFont="1" applyFill="1" applyBorder="1" applyAlignment="1">
      <alignment vertical="center"/>
    </xf>
    <xf numFmtId="176" fontId="0" fillId="35" borderId="5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52" xfId="0" applyNumberFormat="1" applyFont="1" applyFill="1" applyBorder="1" applyAlignment="1">
      <alignment vertical="center"/>
    </xf>
    <xf numFmtId="0" fontId="0" fillId="33" borderId="52" xfId="0" applyFont="1" applyFill="1" applyBorder="1" applyAlignment="1">
      <alignment vertical="center"/>
    </xf>
    <xf numFmtId="0" fontId="0" fillId="33" borderId="53" xfId="0" applyFont="1" applyFill="1" applyBorder="1" applyAlignment="1">
      <alignment vertical="center"/>
    </xf>
    <xf numFmtId="0" fontId="0" fillId="34" borderId="52" xfId="0" applyNumberFormat="1" applyFont="1" applyFill="1" applyBorder="1" applyAlignment="1">
      <alignment vertical="center"/>
    </xf>
    <xf numFmtId="0" fontId="0" fillId="34" borderId="53" xfId="0" applyNumberFormat="1" applyFont="1" applyFill="1" applyBorder="1" applyAlignment="1">
      <alignment vertical="center"/>
    </xf>
    <xf numFmtId="0" fontId="0" fillId="35" borderId="52" xfId="0" applyNumberFormat="1" applyFont="1" applyFill="1" applyBorder="1" applyAlignment="1">
      <alignment vertical="center"/>
    </xf>
    <xf numFmtId="0" fontId="0" fillId="35" borderId="53" xfId="0" applyNumberFormat="1" applyFont="1" applyFill="1" applyBorder="1" applyAlignment="1">
      <alignment vertical="center"/>
    </xf>
    <xf numFmtId="0" fontId="0" fillId="33" borderId="54" xfId="0" applyNumberFormat="1" applyFont="1" applyFill="1" applyBorder="1" applyAlignment="1">
      <alignment horizontal="centerContinuous" vertical="center"/>
    </xf>
    <xf numFmtId="0" fontId="0" fillId="33" borderId="55" xfId="0" applyNumberFormat="1" applyFont="1" applyFill="1" applyBorder="1" applyAlignment="1">
      <alignment horizontal="center" vertical="center"/>
    </xf>
    <xf numFmtId="0" fontId="0" fillId="33" borderId="55" xfId="0" applyNumberFormat="1" applyFont="1" applyFill="1" applyBorder="1" applyAlignment="1">
      <alignment horizontal="right" vertical="center"/>
    </xf>
    <xf numFmtId="0" fontId="0" fillId="34" borderId="55" xfId="0" applyNumberFormat="1" applyFont="1" applyFill="1" applyBorder="1" applyAlignment="1">
      <alignment vertical="center"/>
    </xf>
    <xf numFmtId="0" fontId="0" fillId="35" borderId="55" xfId="0" applyNumberFormat="1" applyFont="1" applyFill="1" applyBorder="1" applyAlignment="1">
      <alignment vertical="center"/>
    </xf>
    <xf numFmtId="0" fontId="0" fillId="33" borderId="56" xfId="0" applyNumberFormat="1" applyFont="1" applyFill="1" applyBorder="1" applyAlignment="1">
      <alignment vertical="center"/>
    </xf>
    <xf numFmtId="0" fontId="0" fillId="34" borderId="56" xfId="0" applyNumberFormat="1" applyFont="1" applyFill="1" applyBorder="1" applyAlignment="1">
      <alignment vertical="center"/>
    </xf>
    <xf numFmtId="0" fontId="0" fillId="35" borderId="56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0" fontId="0" fillId="0" borderId="35" xfId="0" applyNumberFormat="1" applyFont="1" applyBorder="1" applyAlignment="1">
      <alignment vertical="center"/>
    </xf>
    <xf numFmtId="0" fontId="0" fillId="34" borderId="57" xfId="0" applyNumberFormat="1" applyFont="1" applyFill="1" applyBorder="1" applyAlignment="1">
      <alignment vertical="center"/>
    </xf>
    <xf numFmtId="0" fontId="0" fillId="34" borderId="58" xfId="0" applyNumberFormat="1" applyFont="1" applyFill="1" applyBorder="1" applyAlignment="1">
      <alignment vertical="center"/>
    </xf>
    <xf numFmtId="0" fontId="0" fillId="34" borderId="59" xfId="0" applyNumberFormat="1" applyFont="1" applyFill="1" applyBorder="1" applyAlignment="1">
      <alignment vertical="center"/>
    </xf>
    <xf numFmtId="0" fontId="0" fillId="35" borderId="58" xfId="0" applyNumberFormat="1" applyFont="1" applyFill="1" applyBorder="1" applyAlignment="1">
      <alignment horizontal="center" vertical="center"/>
    </xf>
    <xf numFmtId="0" fontId="0" fillId="35" borderId="59" xfId="0" applyNumberFormat="1" applyFont="1" applyFill="1" applyBorder="1" applyAlignment="1">
      <alignment horizontal="center" vertical="center"/>
    </xf>
    <xf numFmtId="0" fontId="0" fillId="35" borderId="57" xfId="0" applyNumberFormat="1" applyFont="1" applyFill="1" applyBorder="1" applyAlignment="1">
      <alignment horizontal="center" vertical="center"/>
    </xf>
    <xf numFmtId="0" fontId="0" fillId="33" borderId="57" xfId="0" applyNumberFormat="1" applyFont="1" applyFill="1" applyBorder="1" applyAlignment="1">
      <alignment vertical="center"/>
    </xf>
    <xf numFmtId="0" fontId="0" fillId="33" borderId="58" xfId="0" applyNumberFormat="1" applyFont="1" applyFill="1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0" fontId="0" fillId="33" borderId="59" xfId="0" applyFont="1" applyFill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35" borderId="60" xfId="0" applyNumberFormat="1" applyFont="1" applyFill="1" applyBorder="1" applyAlignment="1">
      <alignment horizontal="center" vertical="center"/>
    </xf>
    <xf numFmtId="0" fontId="0" fillId="35" borderId="61" xfId="0" applyNumberFormat="1" applyFont="1" applyFill="1" applyBorder="1" applyAlignment="1">
      <alignment horizontal="center" vertical="center"/>
    </xf>
    <xf numFmtId="0" fontId="0" fillId="35" borderId="62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35" borderId="63" xfId="0" applyNumberFormat="1" applyFont="1" applyFill="1" applyBorder="1" applyAlignment="1">
      <alignment vertical="center"/>
    </xf>
    <xf numFmtId="0" fontId="0" fillId="35" borderId="64" xfId="0" applyNumberFormat="1" applyFont="1" applyFill="1" applyBorder="1" applyAlignment="1">
      <alignment vertical="center"/>
    </xf>
    <xf numFmtId="0" fontId="0" fillId="35" borderId="65" xfId="0" applyNumberFormat="1" applyFont="1" applyFill="1" applyBorder="1" applyAlignment="1">
      <alignment vertical="center"/>
    </xf>
    <xf numFmtId="0" fontId="0" fillId="0" borderId="66" xfId="0" applyNumberFormat="1" applyFont="1" applyBorder="1" applyAlignment="1">
      <alignment vertical="center"/>
    </xf>
    <xf numFmtId="0" fontId="0" fillId="0" borderId="67" xfId="0" applyNumberFormat="1" applyBorder="1" applyAlignment="1">
      <alignment vertical="center"/>
    </xf>
    <xf numFmtId="0" fontId="0" fillId="0" borderId="67" xfId="0" applyBorder="1" applyAlignment="1">
      <alignment vertical="center"/>
    </xf>
    <xf numFmtId="0" fontId="0" fillId="33" borderId="68" xfId="0" applyNumberFormat="1" applyFont="1" applyFill="1" applyBorder="1" applyAlignment="1">
      <alignment vertical="center"/>
    </xf>
    <xf numFmtId="0" fontId="0" fillId="33" borderId="69" xfId="0" applyNumberFormat="1" applyFont="1" applyFill="1" applyBorder="1" applyAlignment="1">
      <alignment vertical="center"/>
    </xf>
    <xf numFmtId="0" fontId="0" fillId="33" borderId="69" xfId="0" applyFont="1" applyFill="1" applyBorder="1" applyAlignment="1">
      <alignment vertical="center"/>
    </xf>
    <xf numFmtId="0" fontId="0" fillId="33" borderId="70" xfId="0" applyFont="1" applyFill="1" applyBorder="1" applyAlignment="1">
      <alignment vertical="center"/>
    </xf>
    <xf numFmtId="0" fontId="0" fillId="35" borderId="66" xfId="0" applyNumberFormat="1" applyFont="1" applyFill="1" applyBorder="1" applyAlignment="1">
      <alignment vertical="center"/>
    </xf>
    <xf numFmtId="0" fontId="0" fillId="35" borderId="67" xfId="0" applyFont="1" applyFill="1" applyBorder="1" applyAlignment="1">
      <alignment vertical="center"/>
    </xf>
    <xf numFmtId="0" fontId="0" fillId="33" borderId="71" xfId="0" applyNumberFormat="1" applyFont="1" applyFill="1" applyBorder="1" applyAlignment="1">
      <alignment vertical="center"/>
    </xf>
    <xf numFmtId="0" fontId="0" fillId="33" borderId="71" xfId="0" applyFont="1" applyFill="1" applyBorder="1" applyAlignment="1">
      <alignment vertical="center"/>
    </xf>
    <xf numFmtId="0" fontId="0" fillId="33" borderId="72" xfId="0" applyFont="1" applyFill="1" applyBorder="1" applyAlignment="1">
      <alignment vertical="center"/>
    </xf>
    <xf numFmtId="0" fontId="0" fillId="34" borderId="73" xfId="0" applyNumberFormat="1" applyFont="1" applyFill="1" applyBorder="1" applyAlignment="1">
      <alignment vertical="center"/>
    </xf>
    <xf numFmtId="0" fontId="0" fillId="34" borderId="71" xfId="0" applyNumberFormat="1" applyFont="1" applyFill="1" applyBorder="1" applyAlignment="1">
      <alignment vertical="center"/>
    </xf>
    <xf numFmtId="0" fontId="0" fillId="34" borderId="72" xfId="0" applyNumberFormat="1" applyFont="1" applyFill="1" applyBorder="1" applyAlignment="1">
      <alignment vertical="center"/>
    </xf>
    <xf numFmtId="0" fontId="0" fillId="0" borderId="26" xfId="0" applyNumberFormat="1" applyFont="1" applyBorder="1" applyAlignment="1">
      <alignment horizontal="left" vertical="center"/>
    </xf>
    <xf numFmtId="0" fontId="0" fillId="0" borderId="27" xfId="0" applyNumberFormat="1" applyFont="1" applyBorder="1" applyAlignment="1">
      <alignment horizontal="left" vertical="center"/>
    </xf>
    <xf numFmtId="0" fontId="0" fillId="33" borderId="73" xfId="0" applyNumberFormat="1" applyFont="1" applyFill="1" applyBorder="1" applyAlignment="1">
      <alignment horizontal="right" vertical="center"/>
    </xf>
    <xf numFmtId="0" fontId="0" fillId="33" borderId="71" xfId="0" applyNumberFormat="1" applyFont="1" applyFill="1" applyBorder="1" applyAlignment="1">
      <alignment horizontal="right" vertical="center"/>
    </xf>
    <xf numFmtId="0" fontId="0" fillId="33" borderId="73" xfId="0" applyNumberFormat="1" applyFont="1" applyFill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35" borderId="75" xfId="0" applyNumberFormat="1" applyFont="1" applyFill="1" applyBorder="1" applyAlignment="1">
      <alignment vertical="center"/>
    </xf>
    <xf numFmtId="0" fontId="0" fillId="35" borderId="74" xfId="0" applyFont="1" applyFill="1" applyBorder="1" applyAlignment="1">
      <alignment vertical="center"/>
    </xf>
    <xf numFmtId="0" fontId="0" fillId="33" borderId="60" xfId="0" applyNumberFormat="1" applyFont="1" applyFill="1" applyBorder="1" applyAlignment="1">
      <alignment vertical="center"/>
    </xf>
    <xf numFmtId="0" fontId="0" fillId="33" borderId="61" xfId="0" applyNumberFormat="1" applyFont="1" applyFill="1" applyBorder="1" applyAlignment="1">
      <alignment vertical="center"/>
    </xf>
    <xf numFmtId="0" fontId="0" fillId="33" borderId="61" xfId="0" applyFont="1" applyFill="1" applyBorder="1" applyAlignment="1">
      <alignment vertical="center"/>
    </xf>
    <xf numFmtId="0" fontId="0" fillId="33" borderId="62" xfId="0" applyFont="1" applyFill="1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4" fillId="0" borderId="77" xfId="0" applyNumberFormat="1" applyFont="1" applyBorder="1" applyAlignment="1">
      <alignment vertical="center"/>
    </xf>
    <xf numFmtId="0" fontId="5" fillId="0" borderId="77" xfId="0" applyNumberFormat="1" applyFont="1" applyBorder="1" applyAlignment="1">
      <alignment horizontal="center" vertical="center"/>
    </xf>
    <xf numFmtId="0" fontId="5" fillId="0" borderId="76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78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forum-design.co.jp/" TargetMode="External" /><Relationship Id="rId3" Type="http://schemas.openxmlformats.org/officeDocument/2006/relationships/hyperlink" Target="http://www.forum-design.co.jp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14</xdr:col>
      <xdr:colOff>28575</xdr:colOff>
      <xdr:row>1</xdr:row>
      <xdr:rowOff>1200150</xdr:rowOff>
    </xdr:to>
    <xdr:pic>
      <xdr:nvPicPr>
        <xdr:cNvPr id="1" name="図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74485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89"/>
  <sheetViews>
    <sheetView tabSelected="1" showOutlineSymbols="0" zoomScale="87" zoomScaleNormal="87" zoomScalePageLayoutView="0" workbookViewId="0" topLeftCell="B1">
      <selection activeCell="R16" sqref="R16"/>
    </sheetView>
  </sheetViews>
  <sheetFormatPr defaultColWidth="10.75390625" defaultRowHeight="14.25"/>
  <cols>
    <col min="1" max="1" width="3.75390625" style="27" customWidth="1"/>
    <col min="2" max="2" width="8.875" style="27" customWidth="1"/>
    <col min="3" max="3" width="5.75390625" style="27" customWidth="1"/>
    <col min="4" max="4" width="8.875" style="27" customWidth="1"/>
    <col min="5" max="5" width="7.75390625" style="27" customWidth="1"/>
    <col min="6" max="6" width="11.75390625" style="27" customWidth="1"/>
    <col min="7" max="18" width="8.625" style="27" customWidth="1"/>
    <col min="19" max="19" width="3.75390625" style="27" customWidth="1"/>
    <col min="20" max="16384" width="10.75390625" style="27" customWidth="1"/>
  </cols>
  <sheetData>
    <row r="1" ht="18" customHeight="1"/>
    <row r="2" ht="132.75" customHeight="1" thickBot="1"/>
    <row r="3" spans="3:16" ht="27" customHeight="1" thickBot="1" thickTop="1">
      <c r="C3" s="187" t="s">
        <v>95</v>
      </c>
      <c r="D3" s="187"/>
      <c r="E3" s="187"/>
      <c r="F3" s="194"/>
      <c r="G3" s="186" t="s">
        <v>0</v>
      </c>
      <c r="H3" s="187"/>
      <c r="I3" s="187"/>
      <c r="J3" s="187"/>
      <c r="K3" s="187"/>
      <c r="L3" s="187"/>
      <c r="M3" s="187"/>
      <c r="N3" s="187"/>
      <c r="O3" s="187"/>
      <c r="P3" s="187"/>
    </row>
    <row r="4" spans="3:16" ht="18" customHeight="1" thickTop="1"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ht="18" customHeight="1">
      <c r="B5" s="19" t="s">
        <v>1</v>
      </c>
    </row>
    <row r="6" ht="18" customHeight="1"/>
    <row r="7" spans="4:10" ht="18" customHeight="1">
      <c r="D7" s="20" t="s">
        <v>2</v>
      </c>
      <c r="H7" s="21" t="s">
        <v>3</v>
      </c>
      <c r="J7" s="20" t="s">
        <v>4</v>
      </c>
    </row>
    <row r="8" spans="4:10" ht="18" customHeight="1">
      <c r="D8" s="21"/>
      <c r="H8" s="22"/>
      <c r="J8" s="20" t="s">
        <v>5</v>
      </c>
    </row>
    <row r="9" spans="4:10" ht="18" customHeight="1">
      <c r="D9" s="20" t="s">
        <v>6</v>
      </c>
      <c r="H9" s="21" t="s">
        <v>7</v>
      </c>
      <c r="J9" s="20" t="s">
        <v>96</v>
      </c>
    </row>
    <row r="10" ht="18" customHeight="1">
      <c r="J10" s="20" t="s">
        <v>97</v>
      </c>
    </row>
    <row r="11" ht="18" customHeight="1">
      <c r="J11" s="27" t="s">
        <v>98</v>
      </c>
    </row>
    <row r="12" spans="2:10" ht="18" customHeight="1">
      <c r="B12" s="19" t="s">
        <v>8</v>
      </c>
      <c r="J12" s="20" t="s">
        <v>99</v>
      </c>
    </row>
    <row r="13" ht="18" customHeight="1">
      <c r="J13" s="20" t="s">
        <v>9</v>
      </c>
    </row>
    <row r="14" spans="4:10" ht="18" customHeight="1">
      <c r="D14" s="20" t="s">
        <v>10</v>
      </c>
      <c r="J14" s="20" t="s">
        <v>11</v>
      </c>
    </row>
    <row r="15" spans="4:10" ht="18" customHeight="1">
      <c r="D15" s="20" t="s">
        <v>12</v>
      </c>
      <c r="J15" s="27" t="s">
        <v>13</v>
      </c>
    </row>
    <row r="16" ht="18" customHeight="1">
      <c r="J16" s="27" t="s">
        <v>14</v>
      </c>
    </row>
    <row r="17" ht="18" customHeight="1">
      <c r="J17" s="27" t="s">
        <v>15</v>
      </c>
    </row>
    <row r="18" ht="18" customHeight="1">
      <c r="K18" s="20" t="s">
        <v>16</v>
      </c>
    </row>
    <row r="19" ht="18" customHeight="1">
      <c r="K19" s="20" t="s">
        <v>17</v>
      </c>
    </row>
    <row r="20" spans="2:10" ht="18" customHeight="1">
      <c r="B20" s="19" t="s">
        <v>18</v>
      </c>
      <c r="J20" s="20" t="s">
        <v>19</v>
      </c>
    </row>
    <row r="21" spans="2:19" ht="18" customHeight="1" thickBot="1" thickTop="1">
      <c r="B21" s="19"/>
      <c r="D21" s="23" t="s">
        <v>20</v>
      </c>
      <c r="E21" s="18"/>
      <c r="F21" s="31" t="s">
        <v>21</v>
      </c>
      <c r="G21" s="18"/>
      <c r="H21" s="18"/>
      <c r="I21" s="30">
        <v>2</v>
      </c>
      <c r="J21" s="32" t="str">
        <f>IF(I21=2,"無し",IF(I21=1,"有り","入力"))</f>
        <v>無し</v>
      </c>
      <c r="K21" s="38"/>
      <c r="L21" s="18"/>
      <c r="M21" s="18"/>
      <c r="N21" s="18"/>
      <c r="O21" s="18"/>
      <c r="P21" s="18"/>
      <c r="Q21" s="18"/>
      <c r="R21" s="18"/>
      <c r="S21" s="24"/>
    </row>
    <row r="22" spans="2:19" ht="18" customHeight="1">
      <c r="B22" s="20"/>
      <c r="D22" s="28" t="s">
        <v>22</v>
      </c>
      <c r="E22" s="29"/>
      <c r="F22" s="29"/>
      <c r="G22" s="29"/>
      <c r="H22" s="29"/>
      <c r="I22" s="29"/>
      <c r="J22" s="33">
        <v>1.9</v>
      </c>
      <c r="K22" s="39"/>
      <c r="S22" s="24"/>
    </row>
    <row r="23" spans="4:19" ht="18" customHeight="1">
      <c r="D23" s="25" t="s">
        <v>23</v>
      </c>
      <c r="E23" s="26"/>
      <c r="F23" s="26"/>
      <c r="G23" s="26"/>
      <c r="H23" s="26"/>
      <c r="I23" s="26"/>
      <c r="J23" s="34">
        <v>1.9</v>
      </c>
      <c r="K23" s="40" t="s">
        <v>24</v>
      </c>
      <c r="S23" s="24"/>
    </row>
    <row r="24" spans="4:19" ht="18" customHeight="1">
      <c r="D24" s="25" t="s">
        <v>25</v>
      </c>
      <c r="E24" s="26"/>
      <c r="F24" s="26"/>
      <c r="G24" s="26"/>
      <c r="H24" s="26"/>
      <c r="I24" s="26"/>
      <c r="J24" s="35">
        <v>62</v>
      </c>
      <c r="K24" s="41"/>
      <c r="S24" s="24"/>
    </row>
    <row r="25" spans="4:19" ht="18" customHeight="1">
      <c r="D25" s="25" t="s">
        <v>26</v>
      </c>
      <c r="E25" s="26"/>
      <c r="F25" s="26"/>
      <c r="G25" s="26"/>
      <c r="H25" s="26"/>
      <c r="I25" s="26"/>
      <c r="J25" s="35">
        <v>24.8</v>
      </c>
      <c r="K25" s="41"/>
      <c r="S25" s="24"/>
    </row>
    <row r="26" spans="4:19" ht="18" customHeight="1">
      <c r="D26" s="25" t="s">
        <v>27</v>
      </c>
      <c r="E26" s="26"/>
      <c r="F26" s="26"/>
      <c r="G26" s="26"/>
      <c r="H26" s="26"/>
      <c r="I26" s="26"/>
      <c r="J26" s="36">
        <f>IF(J25="","",ROUND(0.95*J25,0))</f>
        <v>24</v>
      </c>
      <c r="K26" s="40" t="s">
        <v>28</v>
      </c>
      <c r="S26" s="24"/>
    </row>
    <row r="27" spans="4:19" ht="18" customHeight="1" thickBot="1">
      <c r="D27" s="25"/>
      <c r="E27" s="11"/>
      <c r="F27" s="26"/>
      <c r="G27" s="26"/>
      <c r="H27" s="26"/>
      <c r="I27" s="26"/>
      <c r="J27" s="37"/>
      <c r="K27" s="40" t="s">
        <v>29</v>
      </c>
      <c r="S27" s="24"/>
    </row>
    <row r="28" spans="4:19" ht="18" customHeight="1" thickBot="1">
      <c r="D28" s="42" t="s">
        <v>30</v>
      </c>
      <c r="E28" s="46" t="s">
        <v>31</v>
      </c>
      <c r="F28" s="43"/>
      <c r="G28" s="43"/>
      <c r="H28" s="43"/>
      <c r="I28" s="43"/>
      <c r="J28" s="43"/>
      <c r="K28" s="44"/>
      <c r="L28" s="43"/>
      <c r="M28" s="43"/>
      <c r="N28" s="43"/>
      <c r="O28" s="43"/>
      <c r="P28" s="43"/>
      <c r="Q28" s="43"/>
      <c r="R28" s="45"/>
      <c r="S28" s="24"/>
    </row>
    <row r="29" spans="2:18" ht="18" customHeight="1" thickBot="1" thickTop="1">
      <c r="B29" s="19" t="s">
        <v>32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2:19" ht="18" customHeight="1" thickBot="1" thickTop="1">
      <c r="B30" s="14" t="s">
        <v>33</v>
      </c>
      <c r="C30" s="18"/>
      <c r="D30" s="18"/>
      <c r="E30" s="18"/>
      <c r="F30" s="13" t="s">
        <v>34</v>
      </c>
      <c r="G30" s="18"/>
      <c r="H30" s="15" t="s">
        <v>35</v>
      </c>
      <c r="I30" s="18"/>
      <c r="J30" s="18"/>
      <c r="K30" s="18"/>
      <c r="L30" s="18"/>
      <c r="M30" s="16" t="s">
        <v>36</v>
      </c>
      <c r="N30" s="18"/>
      <c r="O30" s="18"/>
      <c r="P30" s="18"/>
      <c r="Q30" s="18"/>
      <c r="R30" s="18"/>
      <c r="S30" s="24"/>
    </row>
    <row r="31" spans="2:19" ht="18" customHeight="1">
      <c r="B31" s="47"/>
      <c r="C31" s="48" t="s">
        <v>37</v>
      </c>
      <c r="D31" s="49"/>
      <c r="E31" s="66" t="s">
        <v>30</v>
      </c>
      <c r="F31" s="49"/>
      <c r="G31" s="77" t="s">
        <v>38</v>
      </c>
      <c r="H31" s="77" t="s">
        <v>39</v>
      </c>
      <c r="I31" s="78" t="s">
        <v>40</v>
      </c>
      <c r="J31" s="77" t="s">
        <v>41</v>
      </c>
      <c r="K31" s="77" t="s">
        <v>42</v>
      </c>
      <c r="L31" s="77" t="s">
        <v>43</v>
      </c>
      <c r="M31" s="77" t="s">
        <v>44</v>
      </c>
      <c r="N31" s="77" t="s">
        <v>45</v>
      </c>
      <c r="O31" s="49" t="s">
        <v>46</v>
      </c>
      <c r="P31" s="49"/>
      <c r="Q31" s="66" t="s">
        <v>47</v>
      </c>
      <c r="R31" s="51"/>
      <c r="S31" s="24"/>
    </row>
    <row r="32" spans="2:19" ht="18" customHeight="1" thickBot="1">
      <c r="B32" s="62" t="s">
        <v>48</v>
      </c>
      <c r="C32" s="63"/>
      <c r="D32" s="63" t="s">
        <v>49</v>
      </c>
      <c r="E32" s="67" t="s">
        <v>50</v>
      </c>
      <c r="F32" s="17" t="s">
        <v>51</v>
      </c>
      <c r="G32" s="79" t="s">
        <v>52</v>
      </c>
      <c r="H32" s="79" t="s">
        <v>113</v>
      </c>
      <c r="I32" s="80"/>
      <c r="J32" s="79" t="s">
        <v>53</v>
      </c>
      <c r="K32" s="79" t="s">
        <v>54</v>
      </c>
      <c r="L32" s="79" t="s">
        <v>55</v>
      </c>
      <c r="M32" s="79" t="s">
        <v>56</v>
      </c>
      <c r="N32" s="79" t="s">
        <v>57</v>
      </c>
      <c r="O32" s="6" t="s">
        <v>58</v>
      </c>
      <c r="P32" s="17" t="s">
        <v>59</v>
      </c>
      <c r="Q32" s="67" t="s">
        <v>58</v>
      </c>
      <c r="R32" s="17" t="s">
        <v>59</v>
      </c>
      <c r="S32" s="24"/>
    </row>
    <row r="33" spans="2:19" ht="18" customHeight="1">
      <c r="B33" s="52">
        <v>0</v>
      </c>
      <c r="C33" s="53" t="s">
        <v>60</v>
      </c>
      <c r="D33" s="54">
        <v>1.9</v>
      </c>
      <c r="E33" s="68">
        <v>1</v>
      </c>
      <c r="F33" s="55" t="str">
        <f aca="true" t="shared" si="0" ref="F33:F55">IF(E33=1,"埋土",IF(E33=2,"シルト",IF(E33=3,"砂",IF(E33=4,"粘土",IF(E33=5,"砂礫",IF(E33=6,"レキ",""))))))</f>
        <v>埋土</v>
      </c>
      <c r="G33" s="81">
        <f aca="true" t="shared" si="1" ref="G33:G55">IF(D33="","",ROUND(D33-B33,1))</f>
        <v>1.9</v>
      </c>
      <c r="H33" s="82">
        <v>18</v>
      </c>
      <c r="I33" s="83">
        <v>7</v>
      </c>
      <c r="J33" s="81">
        <f aca="true" t="shared" si="2" ref="J33:J55">IF(G33="","",ROUND(G33*H33,1))</f>
        <v>34.2</v>
      </c>
      <c r="K33" s="84">
        <f>ROUND(J33,1)</f>
        <v>34.2</v>
      </c>
      <c r="L33" s="85">
        <f aca="true" t="shared" si="3" ref="L33:L55">IF(D33="","",IF(OR(E33=2,E33=4),"",ROUNDUP((3+I33/5)*9.8,0)))</f>
        <v>44</v>
      </c>
      <c r="M33" s="83"/>
      <c r="N33" s="78">
        <f>IF(OR(E33=2,E33=4),ROUND((G33*H33*0.3)/2,1),"")</f>
      </c>
      <c r="O33" s="76">
        <f aca="true" t="shared" si="4" ref="O33:O55">IF(D33="","",IF(AND($J$26&gt;=D33,NOT(L33="")),ROUND(L33*G33,0),""))</f>
        <v>84</v>
      </c>
      <c r="P33" s="64">
        <f>IF(D33="","",IF(AND(NOT(AND(M33="",N33="")),$J$26&gt;=D33,M33&gt;0),MIN(M33,ROUND(N33*G33,0)),IF(AND(NOT(AND(M33="",N33="")),$J$26&gt;=D33,M33=0),ROUND(N33*G33,0),"")))</f>
      </c>
      <c r="Q33" s="73">
        <f>IF(D33="","",IF(AND($J$26&lt;D33,NOT(L33="")),ROUND(L33*G33,0),""))</f>
      </c>
      <c r="R33" s="56">
        <f aca="true" t="shared" si="5" ref="R33:R55">IF(D33="","",IF(AND($J$26&lt;D33,NOT(N33="")),ROUND(N33*G33,0),""))</f>
      </c>
      <c r="S33" s="24"/>
    </row>
    <row r="34" spans="2:19" ht="18" customHeight="1">
      <c r="B34" s="1">
        <v>1.9</v>
      </c>
      <c r="C34" s="17" t="s">
        <v>60</v>
      </c>
      <c r="D34" s="3">
        <v>5.5</v>
      </c>
      <c r="E34" s="69">
        <v>3</v>
      </c>
      <c r="F34" s="8" t="str">
        <f t="shared" si="0"/>
        <v>砂</v>
      </c>
      <c r="G34" s="86">
        <f t="shared" si="1"/>
        <v>3.6</v>
      </c>
      <c r="H34" s="87">
        <v>8</v>
      </c>
      <c r="I34" s="88">
        <v>5</v>
      </c>
      <c r="J34" s="86">
        <f t="shared" si="2"/>
        <v>28.8</v>
      </c>
      <c r="K34" s="89">
        <f>IF(J33="","",ROUND(J33+J34,1))</f>
        <v>63</v>
      </c>
      <c r="L34" s="90">
        <f t="shared" si="3"/>
        <v>40</v>
      </c>
      <c r="M34" s="88"/>
      <c r="N34" s="91">
        <f>IF(OR(E34=2,E34=4),ROUND(((G34*H34)/2+J33)*0.3,1),"")</f>
      </c>
      <c r="O34" s="7">
        <f t="shared" si="4"/>
        <v>144</v>
      </c>
      <c r="P34" s="65">
        <f aca="true" t="shared" si="6" ref="P34:P55">IF(D34="","",IF(AND(NOT(AND(M34="",N34="")),$J$26&gt;=D34,M34&gt;0),MIN(M34,ROUND(N34*G34,0)),IF(AND(NOT(AND(M34="",N34="")),$J$26&gt;=D34,M34=0),ROUND(N34*G34,0),"")))</f>
      </c>
      <c r="Q34" s="74">
        <f>IF(D34="","",IF(AND($J$26&lt;D34,NOT(L34="")),ROUND(L34*G34,0),""))</f>
      </c>
      <c r="R34" s="9">
        <f t="shared" si="5"/>
      </c>
      <c r="S34" s="24"/>
    </row>
    <row r="35" spans="2:19" ht="18" customHeight="1">
      <c r="B35" s="2">
        <v>5.5</v>
      </c>
      <c r="C35" s="17" t="s">
        <v>60</v>
      </c>
      <c r="D35" s="3">
        <v>24</v>
      </c>
      <c r="E35" s="69">
        <v>2</v>
      </c>
      <c r="F35" s="8" t="str">
        <f t="shared" si="0"/>
        <v>シルト</v>
      </c>
      <c r="G35" s="86">
        <f t="shared" si="1"/>
        <v>18.5</v>
      </c>
      <c r="H35" s="87">
        <v>6</v>
      </c>
      <c r="I35" s="92"/>
      <c r="J35" s="86">
        <f t="shared" si="2"/>
        <v>111</v>
      </c>
      <c r="K35" s="89">
        <f>IF(J35="","",ROUND(J33+J34+J35,1))</f>
        <v>174</v>
      </c>
      <c r="L35" s="90">
        <f t="shared" si="3"/>
      </c>
      <c r="M35" s="88"/>
      <c r="N35" s="91">
        <f>IF(OR(E35=2,E35=4),ROUND(((G35*H35)/2+J33+J34)*0.3,1),"")</f>
        <v>35.6</v>
      </c>
      <c r="O35" s="7">
        <f>IF(D35="","",IF(AND($J$26&gt;=D35,NOT(L35="")),ROUND(L35*G35,0),""))</f>
      </c>
      <c r="P35" s="65">
        <f t="shared" si="6"/>
        <v>659</v>
      </c>
      <c r="Q35" s="74">
        <f>IF(D35="","",IF(AND($J$26&lt;D35,NOT(L35="")),ROUND(L35*G35,0),""))</f>
      </c>
      <c r="R35" s="9">
        <f t="shared" si="5"/>
      </c>
      <c r="S35" s="24"/>
    </row>
    <row r="36" spans="2:19" ht="18" customHeight="1">
      <c r="B36" s="1">
        <v>24</v>
      </c>
      <c r="C36" s="17" t="s">
        <v>60</v>
      </c>
      <c r="D36" s="3">
        <v>41.4</v>
      </c>
      <c r="E36" s="69">
        <v>2</v>
      </c>
      <c r="F36" s="8" t="str">
        <f t="shared" si="0"/>
        <v>シルト</v>
      </c>
      <c r="G36" s="86">
        <f t="shared" si="1"/>
        <v>17.4</v>
      </c>
      <c r="H36" s="87">
        <v>7</v>
      </c>
      <c r="I36" s="92"/>
      <c r="J36" s="86">
        <f t="shared" si="2"/>
        <v>121.8</v>
      </c>
      <c r="K36" s="89">
        <f>IF(J36="","",ROUND(J33+J34+J35+J36,1))</f>
        <v>295.8</v>
      </c>
      <c r="L36" s="90">
        <f t="shared" si="3"/>
      </c>
      <c r="M36" s="88"/>
      <c r="N36" s="91">
        <f>IF(OR(E36=2,E36=4),ROUND(((G36*H36)/2+J33+J34+J35)*0.3,1),"")</f>
        <v>70.5</v>
      </c>
      <c r="O36" s="7">
        <f t="shared" si="4"/>
      </c>
      <c r="P36" s="65">
        <f t="shared" si="6"/>
      </c>
      <c r="Q36" s="74">
        <f>IF(D36="","",IF(AND($J$26&lt;D36,NOT(L36="")),ROUND(L36*G36,0),""))</f>
      </c>
      <c r="R36" s="9">
        <f>IF(D36="","",IF(AND($J$26&lt;D36,NOT(N36="")),ROUND(N36*G36,0),""))</f>
        <v>1227</v>
      </c>
      <c r="S36" s="24"/>
    </row>
    <row r="37" spans="2:19" ht="18" customHeight="1">
      <c r="B37" s="2">
        <v>41.4</v>
      </c>
      <c r="C37" s="17" t="s">
        <v>60</v>
      </c>
      <c r="D37" s="3">
        <v>42.8</v>
      </c>
      <c r="E37" s="69">
        <v>3</v>
      </c>
      <c r="F37" s="8" t="str">
        <f t="shared" si="0"/>
        <v>砂</v>
      </c>
      <c r="G37" s="86">
        <f t="shared" si="1"/>
        <v>1.4</v>
      </c>
      <c r="H37" s="87">
        <v>8</v>
      </c>
      <c r="I37" s="88">
        <v>26</v>
      </c>
      <c r="J37" s="86">
        <f t="shared" si="2"/>
        <v>11.2</v>
      </c>
      <c r="K37" s="89">
        <f>IF(J37="","",ROUND(J33+J34+J35+J36+J37,1))</f>
        <v>307</v>
      </c>
      <c r="L37" s="90">
        <f t="shared" si="3"/>
        <v>81</v>
      </c>
      <c r="M37" s="88"/>
      <c r="N37" s="91">
        <f>IF(OR(E37=2,E37=4),ROUND(((G37*H37)/2+J33+J34+J35+J36)*0.3,1),"")</f>
      </c>
      <c r="O37" s="7">
        <f t="shared" si="4"/>
      </c>
      <c r="P37" s="65">
        <f t="shared" si="6"/>
      </c>
      <c r="Q37" s="74">
        <f aca="true" t="shared" si="7" ref="Q37:Q55">IF(D37="","",IF(AND($J$26&lt;D37,NOT(L37="")),ROUND(L37*G37,0),""))</f>
        <v>113</v>
      </c>
      <c r="R37" s="9">
        <f t="shared" si="5"/>
      </c>
      <c r="S37" s="24"/>
    </row>
    <row r="38" spans="2:19" ht="18" customHeight="1">
      <c r="B38" s="2">
        <v>42.8</v>
      </c>
      <c r="C38" s="17" t="s">
        <v>60</v>
      </c>
      <c r="D38" s="3">
        <v>46.8</v>
      </c>
      <c r="E38" s="69">
        <v>4</v>
      </c>
      <c r="F38" s="8" t="str">
        <f t="shared" si="0"/>
        <v>粘土</v>
      </c>
      <c r="G38" s="86">
        <f t="shared" si="1"/>
        <v>4</v>
      </c>
      <c r="H38" s="87">
        <v>6</v>
      </c>
      <c r="I38" s="92"/>
      <c r="J38" s="86">
        <f t="shared" si="2"/>
        <v>24</v>
      </c>
      <c r="K38" s="89">
        <f>IF(J38="","",ROUND(J33+J34+J35+J36+J37+J38,1))</f>
        <v>331</v>
      </c>
      <c r="L38" s="90">
        <f t="shared" si="3"/>
      </c>
      <c r="M38" s="88"/>
      <c r="N38" s="91">
        <f>IF(OR(E38=2,E38=4),ROUND(((G38*H38)/2+J33+J34+J35+J36+J37)*0.3,1),"")</f>
        <v>95.7</v>
      </c>
      <c r="O38" s="7">
        <f t="shared" si="4"/>
      </c>
      <c r="P38" s="65">
        <f t="shared" si="6"/>
      </c>
      <c r="Q38" s="74">
        <f t="shared" si="7"/>
      </c>
      <c r="R38" s="9">
        <f t="shared" si="5"/>
        <v>383</v>
      </c>
      <c r="S38" s="24"/>
    </row>
    <row r="39" spans="2:19" ht="18" customHeight="1">
      <c r="B39" s="2">
        <v>46.8</v>
      </c>
      <c r="C39" s="17" t="s">
        <v>60</v>
      </c>
      <c r="D39" s="3">
        <v>48.5</v>
      </c>
      <c r="E39" s="69">
        <v>3</v>
      </c>
      <c r="F39" s="8" t="str">
        <f t="shared" si="0"/>
        <v>砂</v>
      </c>
      <c r="G39" s="86">
        <f t="shared" si="1"/>
        <v>1.7</v>
      </c>
      <c r="H39" s="87">
        <v>8</v>
      </c>
      <c r="I39" s="88">
        <v>29</v>
      </c>
      <c r="J39" s="86">
        <f t="shared" si="2"/>
        <v>13.6</v>
      </c>
      <c r="K39" s="89">
        <f>IF(J39="","",ROUND(J33+J34+J35+J36+J37+J38+J39,1))</f>
        <v>344.6</v>
      </c>
      <c r="L39" s="90">
        <f t="shared" si="3"/>
        <v>87</v>
      </c>
      <c r="M39" s="88"/>
      <c r="N39" s="91">
        <f>IF(OR(E39=2,E39=4),ROUND(((G39*H39)/2+J33+J34+J35+J36+J37+J38)*0.3,1),"")</f>
      </c>
      <c r="O39" s="7">
        <f t="shared" si="4"/>
      </c>
      <c r="P39" s="65">
        <f t="shared" si="6"/>
      </c>
      <c r="Q39" s="74">
        <f t="shared" si="7"/>
        <v>148</v>
      </c>
      <c r="R39" s="9">
        <f t="shared" si="5"/>
      </c>
      <c r="S39" s="24"/>
    </row>
    <row r="40" spans="2:19" ht="18" customHeight="1">
      <c r="B40" s="2">
        <v>48.5</v>
      </c>
      <c r="C40" s="17" t="s">
        <v>60</v>
      </c>
      <c r="D40" s="3">
        <v>60.6</v>
      </c>
      <c r="E40" s="69">
        <v>4</v>
      </c>
      <c r="F40" s="8" t="str">
        <f t="shared" si="0"/>
        <v>粘土</v>
      </c>
      <c r="G40" s="86">
        <f t="shared" si="1"/>
        <v>12.1</v>
      </c>
      <c r="H40" s="87">
        <v>7</v>
      </c>
      <c r="I40" s="92"/>
      <c r="J40" s="86">
        <f t="shared" si="2"/>
        <v>84.7</v>
      </c>
      <c r="K40" s="89">
        <f>IF(J40="","",ROUND(J33+J34+J35+J36+J37+J38+J39+J40,1))</f>
        <v>429.3</v>
      </c>
      <c r="L40" s="90">
        <f t="shared" si="3"/>
      </c>
      <c r="M40" s="88"/>
      <c r="N40" s="91">
        <f>IF(OR(E40=2,E40=4),ROUND(((G40*H40)/2+J33+J34+J35+J36+J37+J38+J39)*0.3,1),"")</f>
        <v>116.1</v>
      </c>
      <c r="O40" s="7">
        <f t="shared" si="4"/>
      </c>
      <c r="P40" s="65">
        <f t="shared" si="6"/>
      </c>
      <c r="Q40" s="74">
        <f t="shared" si="7"/>
      </c>
      <c r="R40" s="9">
        <f t="shared" si="5"/>
        <v>1405</v>
      </c>
      <c r="S40" s="24"/>
    </row>
    <row r="41" spans="2:19" ht="18" customHeight="1">
      <c r="B41" s="2">
        <v>60.6</v>
      </c>
      <c r="C41" s="17" t="s">
        <v>60</v>
      </c>
      <c r="D41" s="3">
        <v>62</v>
      </c>
      <c r="E41" s="69">
        <v>5</v>
      </c>
      <c r="F41" s="8" t="str">
        <f t="shared" si="0"/>
        <v>砂礫</v>
      </c>
      <c r="G41" s="86">
        <f t="shared" si="1"/>
        <v>1.4</v>
      </c>
      <c r="H41" s="87">
        <v>10</v>
      </c>
      <c r="I41" s="88">
        <v>60</v>
      </c>
      <c r="J41" s="86">
        <f t="shared" si="2"/>
        <v>14</v>
      </c>
      <c r="K41" s="89">
        <f>IF(J41="","",ROUND(J33+J34+J35+J36+J37+J38+J39+J40+J41,1))</f>
        <v>443.3</v>
      </c>
      <c r="L41" s="90">
        <f t="shared" si="3"/>
        <v>147</v>
      </c>
      <c r="M41" s="88"/>
      <c r="N41" s="91">
        <f>IF(OR(E41=2,E41=4),ROUND(((G41*H41)/2+J33+J34+J35+J36+J37+J38+J39+J40)*0.3,1),"")</f>
      </c>
      <c r="O41" s="7">
        <f t="shared" si="4"/>
      </c>
      <c r="P41" s="65">
        <f t="shared" si="6"/>
      </c>
      <c r="Q41" s="74">
        <f t="shared" si="7"/>
        <v>206</v>
      </c>
      <c r="R41" s="9">
        <f t="shared" si="5"/>
      </c>
      <c r="S41" s="24"/>
    </row>
    <row r="42" spans="2:19" ht="18" customHeight="1">
      <c r="B42" s="2"/>
      <c r="C42" s="17" t="s">
        <v>60</v>
      </c>
      <c r="D42" s="3"/>
      <c r="E42" s="70"/>
      <c r="F42" s="8">
        <f t="shared" si="0"/>
      </c>
      <c r="G42" s="86">
        <f t="shared" si="1"/>
      </c>
      <c r="H42" s="87"/>
      <c r="I42" s="92"/>
      <c r="J42" s="86">
        <f t="shared" si="2"/>
      </c>
      <c r="K42" s="89">
        <f>IF(J42="","",ROUND(J33+J34+J35+J36+J37+J38+J39+J40+J41+J42,1))</f>
      </c>
      <c r="L42" s="90">
        <f t="shared" si="3"/>
      </c>
      <c r="M42" s="88"/>
      <c r="N42" s="91">
        <f>IF(OR(E42=2,E42=4),ROUND(((G42*H42)/2+J33+J34+J35+J36+J37+J38+J39+J40+J41)*0.3,1),"")</f>
      </c>
      <c r="O42" s="7">
        <f t="shared" si="4"/>
      </c>
      <c r="P42" s="65">
        <f t="shared" si="6"/>
      </c>
      <c r="Q42" s="74">
        <f t="shared" si="7"/>
      </c>
      <c r="R42" s="9">
        <f t="shared" si="5"/>
      </c>
      <c r="S42" s="24"/>
    </row>
    <row r="43" spans="2:19" ht="18" customHeight="1">
      <c r="B43" s="2"/>
      <c r="C43" s="17" t="s">
        <v>60</v>
      </c>
      <c r="D43" s="3"/>
      <c r="E43" s="70"/>
      <c r="F43" s="8">
        <f t="shared" si="0"/>
      </c>
      <c r="G43" s="86">
        <f t="shared" si="1"/>
      </c>
      <c r="H43" s="87"/>
      <c r="I43" s="92"/>
      <c r="J43" s="86">
        <f t="shared" si="2"/>
      </c>
      <c r="K43" s="89">
        <f>IF(J43="","",ROUND(J33+J34+J35+J36+J37+J38+J39+J40+J41+J42+J43,1))</f>
      </c>
      <c r="L43" s="90">
        <f t="shared" si="3"/>
      </c>
      <c r="M43" s="88"/>
      <c r="N43" s="91">
        <f>IF(OR(E43=2,E43=4),ROUND(((G43*H43)/2+J33+J34+J35+J36+J37+J38+J39+J40+J41+J42)*0.3,1),"")</f>
      </c>
      <c r="O43" s="7">
        <f t="shared" si="4"/>
      </c>
      <c r="P43" s="65">
        <f t="shared" si="6"/>
      </c>
      <c r="Q43" s="74">
        <f t="shared" si="7"/>
      </c>
      <c r="R43" s="9">
        <f t="shared" si="5"/>
      </c>
      <c r="S43" s="24"/>
    </row>
    <row r="44" spans="2:19" ht="18" customHeight="1">
      <c r="B44" s="2"/>
      <c r="C44" s="17" t="s">
        <v>60</v>
      </c>
      <c r="D44" s="3"/>
      <c r="E44" s="70"/>
      <c r="F44" s="8">
        <f t="shared" si="0"/>
      </c>
      <c r="G44" s="86">
        <f t="shared" si="1"/>
      </c>
      <c r="H44" s="87"/>
      <c r="I44" s="92"/>
      <c r="J44" s="86">
        <f t="shared" si="2"/>
      </c>
      <c r="K44" s="89">
        <f>IF(J44="","",ROUND(J33+J34+J35+J36+J37+J38+J39+J40+J41+J42+J43+J44,1))</f>
      </c>
      <c r="L44" s="90">
        <f t="shared" si="3"/>
      </c>
      <c r="M44" s="88"/>
      <c r="N44" s="91">
        <f>IF(OR(E44=2,E44=4),ROUND(((G44*H44)/2+J33+J34+J35+J36+J37+J38+J39+J40+J41+J42+J43)*0.3,1),"")</f>
      </c>
      <c r="O44" s="7">
        <f t="shared" si="4"/>
      </c>
      <c r="P44" s="65">
        <f t="shared" si="6"/>
      </c>
      <c r="Q44" s="74">
        <f t="shared" si="7"/>
      </c>
      <c r="R44" s="9">
        <f t="shared" si="5"/>
      </c>
      <c r="S44" s="24"/>
    </row>
    <row r="45" spans="2:19" ht="18" customHeight="1">
      <c r="B45" s="2"/>
      <c r="C45" s="17" t="s">
        <v>60</v>
      </c>
      <c r="D45" s="3"/>
      <c r="E45" s="71"/>
      <c r="F45" s="8">
        <f t="shared" si="0"/>
      </c>
      <c r="G45" s="86">
        <f t="shared" si="1"/>
      </c>
      <c r="H45" s="87"/>
      <c r="I45" s="92"/>
      <c r="J45" s="86">
        <f t="shared" si="2"/>
      </c>
      <c r="K45" s="89">
        <f>IF(J45="","",ROUND(J33+J34+J35+J36+J37+J38+J39+J40+J41+J42+J43+J44+J45,1))</f>
      </c>
      <c r="L45" s="90">
        <f t="shared" si="3"/>
      </c>
      <c r="M45" s="88"/>
      <c r="N45" s="91">
        <f>IF(OR(E45=2,E45=4),ROUND(((G45*H45)/2+J33+J34+J35+J36+J37+J38+J39+J40+J41+J42+J43+J44)*0.3,1),"")</f>
      </c>
      <c r="O45" s="7">
        <f t="shared" si="4"/>
      </c>
      <c r="P45" s="65">
        <f t="shared" si="6"/>
      </c>
      <c r="Q45" s="74">
        <f t="shared" si="7"/>
      </c>
      <c r="R45" s="9">
        <f t="shared" si="5"/>
      </c>
      <c r="S45" s="24"/>
    </row>
    <row r="46" spans="2:19" ht="18" customHeight="1">
      <c r="B46" s="2"/>
      <c r="C46" s="17" t="s">
        <v>60</v>
      </c>
      <c r="D46" s="3"/>
      <c r="E46" s="71"/>
      <c r="F46" s="8">
        <f t="shared" si="0"/>
      </c>
      <c r="G46" s="86">
        <f t="shared" si="1"/>
      </c>
      <c r="H46" s="87"/>
      <c r="I46" s="92"/>
      <c r="J46" s="86">
        <f t="shared" si="2"/>
      </c>
      <c r="K46" s="89">
        <f>IF(J46="","",ROUND(J33+J34+J35+J36+J37+J38+J39+J40+J41+J42+J43+J44+J45+J46,1))</f>
      </c>
      <c r="L46" s="90">
        <f t="shared" si="3"/>
      </c>
      <c r="M46" s="88"/>
      <c r="N46" s="91">
        <f>IF(OR(E46=2,E46=4),ROUND(((G46*H46)/2+J33+J34+J35+J36+J37+J38+J39+J40+J41+J42+J43+J44+J45)*0.3,1),"")</f>
      </c>
      <c r="O46" s="7">
        <f t="shared" si="4"/>
      </c>
      <c r="P46" s="65">
        <f t="shared" si="6"/>
      </c>
      <c r="Q46" s="74">
        <f t="shared" si="7"/>
      </c>
      <c r="R46" s="9">
        <f t="shared" si="5"/>
      </c>
      <c r="S46" s="24"/>
    </row>
    <row r="47" spans="2:19" ht="18" customHeight="1">
      <c r="B47" s="2"/>
      <c r="C47" s="17" t="s">
        <v>60</v>
      </c>
      <c r="D47" s="3"/>
      <c r="E47" s="71"/>
      <c r="F47" s="8">
        <f t="shared" si="0"/>
      </c>
      <c r="G47" s="86">
        <f t="shared" si="1"/>
      </c>
      <c r="H47" s="87"/>
      <c r="I47" s="92"/>
      <c r="J47" s="86">
        <f t="shared" si="2"/>
      </c>
      <c r="K47" s="89">
        <f>IF(J47="","",ROUND(J33+J34+J35+J36+J37+J38+J39+J40+J41+J42+J43+J44+J45+J46+J47,1))</f>
      </c>
      <c r="L47" s="90">
        <f t="shared" si="3"/>
      </c>
      <c r="M47" s="88"/>
      <c r="N47" s="91">
        <f>IF(OR(E47=2,E47=4),ROUND(((G47*H47)/2+J33+J34+J35+J36+J37+J38+J39+J40+J41+J42+J43+J44+J45+J46)*0.3,1),"")</f>
      </c>
      <c r="O47" s="7">
        <f t="shared" si="4"/>
      </c>
      <c r="P47" s="65">
        <f t="shared" si="6"/>
      </c>
      <c r="Q47" s="74">
        <f t="shared" si="7"/>
      </c>
      <c r="R47" s="9">
        <f t="shared" si="5"/>
      </c>
      <c r="S47" s="24"/>
    </row>
    <row r="48" spans="2:19" ht="18" customHeight="1">
      <c r="B48" s="2"/>
      <c r="C48" s="17" t="s">
        <v>60</v>
      </c>
      <c r="D48" s="3"/>
      <c r="E48" s="71"/>
      <c r="F48" s="8">
        <f t="shared" si="0"/>
      </c>
      <c r="G48" s="86">
        <f t="shared" si="1"/>
      </c>
      <c r="H48" s="87"/>
      <c r="I48" s="92"/>
      <c r="J48" s="86">
        <f t="shared" si="2"/>
      </c>
      <c r="K48" s="89">
        <f>IF(J48="","",ROUND(J33+J34+J35+J36+J37+J38+J39+J40+J41+J42+J43+J44+J45+J46+J47+J48,1))</f>
      </c>
      <c r="L48" s="90">
        <f t="shared" si="3"/>
      </c>
      <c r="M48" s="88"/>
      <c r="N48" s="91">
        <f>IF(OR(E48=2,E48=4),ROUND(((G48*H48)/2+J33+J34+J35+J36+J37+J38+J39+J40+J41+J42+J43+J44+J45+J46+J47)*0.3,1),"")</f>
      </c>
      <c r="O48" s="7">
        <f t="shared" si="4"/>
      </c>
      <c r="P48" s="65">
        <f t="shared" si="6"/>
      </c>
      <c r="Q48" s="74">
        <f t="shared" si="7"/>
      </c>
      <c r="R48" s="9">
        <f t="shared" si="5"/>
      </c>
      <c r="S48" s="24"/>
    </row>
    <row r="49" spans="2:19" ht="18" customHeight="1">
      <c r="B49" s="2"/>
      <c r="C49" s="17" t="s">
        <v>60</v>
      </c>
      <c r="D49" s="3"/>
      <c r="E49" s="71"/>
      <c r="F49" s="8">
        <f t="shared" si="0"/>
      </c>
      <c r="G49" s="86">
        <f t="shared" si="1"/>
      </c>
      <c r="H49" s="87"/>
      <c r="I49" s="92"/>
      <c r="J49" s="86">
        <f t="shared" si="2"/>
      </c>
      <c r="K49" s="89">
        <f>IF(J49="","",ROUND(J33+J34+J35+J36+J37+J38+J39+J40+J41+J42+J43+J44+J45+J46+J47+J48+J49,1))</f>
      </c>
      <c r="L49" s="90">
        <f t="shared" si="3"/>
      </c>
      <c r="M49" s="88"/>
      <c r="N49" s="91">
        <f>IF(OR(E49=2,E49=4),ROUND(((G49*H49)/2+J33+J34+J35+J36+J37+J38+J39+J40+J41+J42+J43+J44+J45+J46+J47+J48)*0.3,1),"")</f>
      </c>
      <c r="O49" s="7">
        <f t="shared" si="4"/>
      </c>
      <c r="P49" s="65">
        <f t="shared" si="6"/>
      </c>
      <c r="Q49" s="74">
        <f t="shared" si="7"/>
      </c>
      <c r="R49" s="9">
        <f t="shared" si="5"/>
      </c>
      <c r="S49" s="24"/>
    </row>
    <row r="50" spans="2:19" ht="18" customHeight="1">
      <c r="B50" s="2"/>
      <c r="C50" s="17" t="s">
        <v>60</v>
      </c>
      <c r="D50" s="3"/>
      <c r="E50" s="71"/>
      <c r="F50" s="8">
        <f t="shared" si="0"/>
      </c>
      <c r="G50" s="86">
        <f t="shared" si="1"/>
      </c>
      <c r="H50" s="87"/>
      <c r="I50" s="92"/>
      <c r="J50" s="86">
        <f t="shared" si="2"/>
      </c>
      <c r="K50" s="89">
        <f>IF(J50="","",ROUND(J33+J34+J35+J36+J37+J38+J39+J40+J41+J42+J43+J44+J45+J46+J47+J48+J49+J50,1))</f>
      </c>
      <c r="L50" s="90">
        <f t="shared" si="3"/>
      </c>
      <c r="M50" s="88"/>
      <c r="N50" s="91">
        <f>IF(OR(E50=2,E50=4),ROUND(((G50*H50)/2+J33+J34+J35+J36+J37+J38+J39+J40+J41+J42+J43+J44+J45+J46+J47+J48+J49)*0.3,1),"")</f>
      </c>
      <c r="O50" s="7">
        <f t="shared" si="4"/>
      </c>
      <c r="P50" s="65">
        <f t="shared" si="6"/>
      </c>
      <c r="Q50" s="74">
        <f t="shared" si="7"/>
      </c>
      <c r="R50" s="9">
        <f t="shared" si="5"/>
      </c>
      <c r="S50" s="24"/>
    </row>
    <row r="51" spans="2:19" ht="18" customHeight="1">
      <c r="B51" s="2"/>
      <c r="C51" s="17" t="s">
        <v>60</v>
      </c>
      <c r="D51" s="3"/>
      <c r="E51" s="71"/>
      <c r="F51" s="8">
        <f t="shared" si="0"/>
      </c>
      <c r="G51" s="86">
        <f t="shared" si="1"/>
      </c>
      <c r="H51" s="87"/>
      <c r="I51" s="92"/>
      <c r="J51" s="86">
        <f t="shared" si="2"/>
      </c>
      <c r="K51" s="89">
        <f>IF(J51="","",ROUND(J33+J34+J35+J36+J37+J38+J39+J40+J41+J42+J43+J44+J45+J46+J47+J48+J49+J50+J51,1))</f>
      </c>
      <c r="L51" s="90">
        <f t="shared" si="3"/>
      </c>
      <c r="M51" s="88"/>
      <c r="N51" s="91">
        <f>IF(OR(E51=2,E51=4),ROUND(((G51*H51)/2+J33+J34+J35+J36+J37+J38+J39+J40+J41+J42+J43+J44+J45+J46+J47+J48+J49+J50)*0.3,1),"")</f>
      </c>
      <c r="O51" s="7">
        <f t="shared" si="4"/>
      </c>
      <c r="P51" s="65">
        <f t="shared" si="6"/>
      </c>
      <c r="Q51" s="74">
        <f t="shared" si="7"/>
      </c>
      <c r="R51" s="9">
        <f t="shared" si="5"/>
      </c>
      <c r="S51" s="24"/>
    </row>
    <row r="52" spans="2:19" ht="18" customHeight="1">
      <c r="B52" s="2"/>
      <c r="C52" s="17" t="s">
        <v>60</v>
      </c>
      <c r="D52" s="3"/>
      <c r="E52" s="71"/>
      <c r="F52" s="8">
        <f t="shared" si="0"/>
      </c>
      <c r="G52" s="86">
        <f t="shared" si="1"/>
      </c>
      <c r="H52" s="87"/>
      <c r="I52" s="92"/>
      <c r="J52" s="86">
        <f t="shared" si="2"/>
      </c>
      <c r="K52" s="89">
        <f>IF(J52="","",ROUND(J33+J34+J35+J36+J37+J38+J39+J40+J41+J42+J43+J44+J45+J46+J47+J48+J49+J50+J51+J52,1))</f>
      </c>
      <c r="L52" s="90">
        <f t="shared" si="3"/>
      </c>
      <c r="M52" s="88"/>
      <c r="N52" s="91">
        <f>IF(OR(E52=2,E52=4),ROUND(((G52*H52)/2+J33+J34+J35+J36+J37+J38+J39+J40+J41+J42+J43+J44+J45+J46+J47+J48+J49+J50+J51)*0.3,1),"")</f>
      </c>
      <c r="O52" s="7">
        <f t="shared" si="4"/>
      </c>
      <c r="P52" s="65">
        <f t="shared" si="6"/>
      </c>
      <c r="Q52" s="74">
        <f t="shared" si="7"/>
      </c>
      <c r="R52" s="9">
        <f t="shared" si="5"/>
      </c>
      <c r="S52" s="24"/>
    </row>
    <row r="53" spans="2:19" ht="18" customHeight="1">
      <c r="B53" s="2"/>
      <c r="C53" s="17" t="s">
        <v>60</v>
      </c>
      <c r="D53" s="3"/>
      <c r="E53" s="71"/>
      <c r="F53" s="8">
        <f t="shared" si="0"/>
      </c>
      <c r="G53" s="86">
        <f t="shared" si="1"/>
      </c>
      <c r="H53" s="87"/>
      <c r="I53" s="92"/>
      <c r="J53" s="86">
        <f t="shared" si="2"/>
      </c>
      <c r="K53" s="89">
        <f>IF(J53="","",ROUND(J33+J34+J35+J36+J37+J38+J39+J40+J41+J42+J43+J44+J45+J46+J47+J48+J49+J50+J51+J52+J53,1))</f>
      </c>
      <c r="L53" s="90">
        <f t="shared" si="3"/>
      </c>
      <c r="M53" s="88"/>
      <c r="N53" s="91">
        <f>IF(OR(E53=2,E53=4),ROUND(((G53*H53)/2+J33+J34+J35+J36+J37+J38+J39+J40+J41+J42+J43+J44+J45+J46+J47+J48+J49+J50+J51+J52)*0.3,1),"")</f>
      </c>
      <c r="O53" s="7">
        <f t="shared" si="4"/>
      </c>
      <c r="P53" s="65">
        <f t="shared" si="6"/>
      </c>
      <c r="Q53" s="74">
        <f t="shared" si="7"/>
      </c>
      <c r="R53" s="9">
        <f t="shared" si="5"/>
      </c>
      <c r="S53" s="24"/>
    </row>
    <row r="54" spans="2:19" ht="18" customHeight="1">
      <c r="B54" s="2"/>
      <c r="C54" s="17" t="s">
        <v>60</v>
      </c>
      <c r="D54" s="3"/>
      <c r="E54" s="71"/>
      <c r="F54" s="8">
        <f t="shared" si="0"/>
      </c>
      <c r="G54" s="86">
        <f t="shared" si="1"/>
      </c>
      <c r="H54" s="87"/>
      <c r="I54" s="92"/>
      <c r="J54" s="86">
        <f t="shared" si="2"/>
      </c>
      <c r="K54" s="89">
        <f>IF(J54="","",ROUND(J33+J34+J35+J36+J37+J38+J39+J40+J41+J42+J43+J44+J45+J46+J47+J48+J49+J50+J51+J52+J53+J54,1))</f>
      </c>
      <c r="L54" s="90">
        <f t="shared" si="3"/>
      </c>
      <c r="M54" s="88"/>
      <c r="N54" s="91">
        <f>IF(OR(E54=2,E54=4),ROUND(((G54*H54)/2+J33+J34+J35+J36+J37+J38+J39+J40+J41+J42+J43+J44+J45+J46+J47+J48+J49+J50+J51+J52+J53)*0.3,1),"")</f>
      </c>
      <c r="O54" s="7">
        <f t="shared" si="4"/>
      </c>
      <c r="P54" s="65">
        <f t="shared" si="6"/>
      </c>
      <c r="Q54" s="74">
        <f t="shared" si="7"/>
      </c>
      <c r="R54" s="9">
        <f t="shared" si="5"/>
      </c>
      <c r="S54" s="24"/>
    </row>
    <row r="55" spans="2:19" ht="18" customHeight="1" thickBot="1">
      <c r="B55" s="2"/>
      <c r="C55" s="17" t="s">
        <v>60</v>
      </c>
      <c r="D55" s="3"/>
      <c r="E55" s="72"/>
      <c r="F55" s="8">
        <f t="shared" si="0"/>
      </c>
      <c r="G55" s="93">
        <f t="shared" si="1"/>
      </c>
      <c r="H55" s="94"/>
      <c r="I55" s="95"/>
      <c r="J55" s="93">
        <f t="shared" si="2"/>
      </c>
      <c r="K55" s="96">
        <f>IF(J55="","",ROUND(J33+J34+J35+J36+J37+J38+J39+J40+J41+J42+J43+J44+J45+J46+J47+J48+J49+J50+J51+J52+J53+J54+J55,1))</f>
      </c>
      <c r="L55" s="97">
        <f t="shared" si="3"/>
      </c>
      <c r="M55" s="98"/>
      <c r="N55" s="97">
        <f>IF(OR(E55=2,E55=4),ROUND(((G55*H55)/2+J33+J34+J35+J36+J37+J38+J39+J40+J41+J42+J43+J44+J45+J46+J47+J48+J49+J50+J51+J52+J53+J54)*0.3,1),"")</f>
      </c>
      <c r="O55" s="7">
        <f t="shared" si="4"/>
      </c>
      <c r="P55" s="9">
        <f t="shared" si="6"/>
      </c>
      <c r="Q55" s="75">
        <f t="shared" si="7"/>
      </c>
      <c r="R55" s="9">
        <f t="shared" si="5"/>
      </c>
      <c r="S55" s="24"/>
    </row>
    <row r="56" spans="2:19" ht="18" customHeight="1" thickBot="1">
      <c r="B56" s="57" t="s">
        <v>111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99">
        <f>SUM(O33:O55)</f>
        <v>228</v>
      </c>
      <c r="P56" s="99">
        <f>SUM(P33:P55)</f>
        <v>659</v>
      </c>
      <c r="Q56" s="100"/>
      <c r="R56" s="59"/>
      <c r="S56" s="24"/>
    </row>
    <row r="57" spans="2:19" ht="18" customHeight="1" thickBot="1">
      <c r="B57" s="57" t="s">
        <v>112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78">
        <f>SUM(Q33:Q55)</f>
        <v>467</v>
      </c>
      <c r="R57" s="101">
        <f>SUM(R33:R55)</f>
        <v>3015</v>
      </c>
      <c r="S57" s="24"/>
    </row>
    <row r="58" spans="2:19" ht="18" customHeight="1" thickBot="1">
      <c r="B58" s="57" t="s">
        <v>61</v>
      </c>
      <c r="C58" s="58"/>
      <c r="D58" s="58"/>
      <c r="E58" s="58"/>
      <c r="F58" s="46" t="s">
        <v>110</v>
      </c>
      <c r="G58" s="43"/>
      <c r="H58" s="105"/>
      <c r="I58" s="58"/>
      <c r="J58" s="58"/>
      <c r="K58" s="58"/>
      <c r="L58" s="58"/>
      <c r="M58" s="58"/>
      <c r="N58" s="60" t="s">
        <v>62</v>
      </c>
      <c r="O58" s="61" t="s">
        <v>63</v>
      </c>
      <c r="P58" s="104">
        <f>ROUND(O56+P56,0)</f>
        <v>887</v>
      </c>
      <c r="Q58" s="103" t="s">
        <v>64</v>
      </c>
      <c r="R58" s="102">
        <f>ROUND(Q57+R57,0)</f>
        <v>3482</v>
      </c>
      <c r="S58" s="24"/>
    </row>
    <row r="59" spans="2:18" ht="18" customHeight="1" thickTop="1">
      <c r="B59" s="13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ht="18" customHeight="1" thickBot="1">
      <c r="B60" s="19" t="s">
        <v>65</v>
      </c>
    </row>
    <row r="61" spans="3:19" ht="18" customHeight="1" thickBot="1" thickTop="1">
      <c r="C61" s="192" t="s">
        <v>66</v>
      </c>
      <c r="D61" s="193"/>
      <c r="E61" s="193"/>
      <c r="F61" s="193"/>
      <c r="G61" s="126" t="s">
        <v>67</v>
      </c>
      <c r="H61" s="106" t="s">
        <v>68</v>
      </c>
      <c r="I61" s="106" t="s">
        <v>69</v>
      </c>
      <c r="J61" s="106" t="s">
        <v>70</v>
      </c>
      <c r="K61" s="106">
        <v>16</v>
      </c>
      <c r="L61" s="107"/>
      <c r="M61" s="107"/>
      <c r="N61" s="107"/>
      <c r="O61" s="107"/>
      <c r="P61" s="107"/>
      <c r="Q61" s="107"/>
      <c r="R61" s="108"/>
      <c r="S61" s="24"/>
    </row>
    <row r="62" spans="3:19" ht="18" customHeight="1">
      <c r="C62" s="47" t="s">
        <v>71</v>
      </c>
      <c r="D62" s="48"/>
      <c r="E62" s="188" t="s">
        <v>93</v>
      </c>
      <c r="F62" s="189"/>
      <c r="G62" s="175">
        <v>1600</v>
      </c>
      <c r="H62" s="165">
        <v>1600</v>
      </c>
      <c r="I62" s="165">
        <v>1600</v>
      </c>
      <c r="J62" s="165">
        <v>1600</v>
      </c>
      <c r="K62" s="165">
        <v>1600</v>
      </c>
      <c r="L62" s="166"/>
      <c r="M62" s="166"/>
      <c r="N62" s="166"/>
      <c r="O62" s="166"/>
      <c r="P62" s="166"/>
      <c r="Q62" s="166"/>
      <c r="R62" s="167"/>
      <c r="S62" s="24"/>
    </row>
    <row r="63" spans="3:19" ht="18" customHeight="1" thickBot="1">
      <c r="C63" s="24"/>
      <c r="D63" s="21"/>
      <c r="E63" s="190" t="s">
        <v>94</v>
      </c>
      <c r="F63" s="191"/>
      <c r="G63" s="127">
        <v>2400</v>
      </c>
      <c r="H63" s="109">
        <v>2200</v>
      </c>
      <c r="I63" s="109">
        <v>2000</v>
      </c>
      <c r="J63" s="109">
        <v>1800</v>
      </c>
      <c r="K63" s="109">
        <v>1600</v>
      </c>
      <c r="L63" s="110"/>
      <c r="M63" s="110"/>
      <c r="N63" s="110"/>
      <c r="O63" s="110"/>
      <c r="P63" s="110"/>
      <c r="Q63" s="110"/>
      <c r="R63" s="111"/>
      <c r="S63" s="24"/>
    </row>
    <row r="64" spans="3:19" ht="18" customHeight="1">
      <c r="C64" s="171" t="s">
        <v>72</v>
      </c>
      <c r="D64" s="172"/>
      <c r="E64" s="58"/>
      <c r="F64" s="48" t="s">
        <v>100</v>
      </c>
      <c r="G64" s="173">
        <v>2.01</v>
      </c>
      <c r="H64" s="174">
        <v>2.01</v>
      </c>
      <c r="I64" s="174">
        <v>2.01</v>
      </c>
      <c r="J64" s="174">
        <v>2.01</v>
      </c>
      <c r="K64" s="174">
        <v>2.01</v>
      </c>
      <c r="L64" s="166"/>
      <c r="M64" s="166"/>
      <c r="N64" s="166"/>
      <c r="O64" s="166"/>
      <c r="P64" s="166"/>
      <c r="Q64" s="166"/>
      <c r="R64" s="167"/>
      <c r="S64" s="24"/>
    </row>
    <row r="65" spans="3:19" ht="18" customHeight="1" thickBot="1">
      <c r="C65" s="4" t="s">
        <v>73</v>
      </c>
      <c r="D65" s="5"/>
      <c r="E65" s="26"/>
      <c r="F65" s="6" t="s">
        <v>101</v>
      </c>
      <c r="G65" s="128">
        <v>5.02</v>
      </c>
      <c r="H65" s="112">
        <v>5.02</v>
      </c>
      <c r="I65" s="112">
        <v>5.02</v>
      </c>
      <c r="J65" s="112">
        <v>5.02</v>
      </c>
      <c r="K65" s="112">
        <v>5.02</v>
      </c>
      <c r="L65" s="110"/>
      <c r="M65" s="110"/>
      <c r="N65" s="110"/>
      <c r="O65" s="110"/>
      <c r="P65" s="110"/>
      <c r="Q65" s="110"/>
      <c r="R65" s="111"/>
      <c r="S65" s="24"/>
    </row>
    <row r="66" spans="3:19" ht="18" customHeight="1">
      <c r="C66" s="57" t="s">
        <v>74</v>
      </c>
      <c r="D66" s="60"/>
      <c r="E66" s="135" t="s">
        <v>103</v>
      </c>
      <c r="F66" s="60"/>
      <c r="G66" s="168">
        <f aca="true" t="shared" si="8" ref="G66:R66">IF(G62="","",ROUND($P58,1))</f>
        <v>887</v>
      </c>
      <c r="H66" s="169">
        <f t="shared" si="8"/>
        <v>887</v>
      </c>
      <c r="I66" s="169">
        <f t="shared" si="8"/>
        <v>887</v>
      </c>
      <c r="J66" s="169">
        <f t="shared" si="8"/>
        <v>887</v>
      </c>
      <c r="K66" s="169">
        <f t="shared" si="8"/>
        <v>887</v>
      </c>
      <c r="L66" s="169">
        <f t="shared" si="8"/>
      </c>
      <c r="M66" s="169">
        <f t="shared" si="8"/>
      </c>
      <c r="N66" s="169">
        <f t="shared" si="8"/>
      </c>
      <c r="O66" s="169">
        <f t="shared" si="8"/>
      </c>
      <c r="P66" s="169">
        <f t="shared" si="8"/>
      </c>
      <c r="Q66" s="169">
        <f t="shared" si="8"/>
      </c>
      <c r="R66" s="170">
        <f t="shared" si="8"/>
      </c>
      <c r="S66" s="24"/>
    </row>
    <row r="67" spans="3:19" ht="18" customHeight="1" thickBot="1">
      <c r="C67" s="24"/>
      <c r="E67" s="134" t="s">
        <v>75</v>
      </c>
      <c r="F67" s="26"/>
      <c r="G67" s="129">
        <f aca="true" t="shared" si="9" ref="G67:R67">IF(G66="","",ROUND(G66*G65,0))</f>
        <v>4453</v>
      </c>
      <c r="H67" s="113">
        <f t="shared" si="9"/>
        <v>4453</v>
      </c>
      <c r="I67" s="113">
        <f t="shared" si="9"/>
        <v>4453</v>
      </c>
      <c r="J67" s="113">
        <f t="shared" si="9"/>
        <v>4453</v>
      </c>
      <c r="K67" s="113">
        <f t="shared" si="9"/>
        <v>4453</v>
      </c>
      <c r="L67" s="113">
        <f t="shared" si="9"/>
      </c>
      <c r="M67" s="113">
        <f t="shared" si="9"/>
      </c>
      <c r="N67" s="113">
        <f t="shared" si="9"/>
      </c>
      <c r="O67" s="113">
        <f t="shared" si="9"/>
      </c>
      <c r="P67" s="113">
        <f t="shared" si="9"/>
      </c>
      <c r="Q67" s="113">
        <f t="shared" si="9"/>
      </c>
      <c r="R67" s="114">
        <f t="shared" si="9"/>
      </c>
      <c r="S67" s="24"/>
    </row>
    <row r="68" spans="3:19" ht="18" customHeight="1">
      <c r="C68" s="57" t="s">
        <v>76</v>
      </c>
      <c r="D68" s="58"/>
      <c r="E68" s="135" t="s">
        <v>104</v>
      </c>
      <c r="F68" s="58"/>
      <c r="G68" s="168">
        <f aca="true" t="shared" si="10" ref="G68:R68">IF(G62="","",ROUND($R58,1))</f>
        <v>3482</v>
      </c>
      <c r="H68" s="169">
        <f t="shared" si="10"/>
        <v>3482</v>
      </c>
      <c r="I68" s="169">
        <f t="shared" si="10"/>
        <v>3482</v>
      </c>
      <c r="J68" s="169">
        <f t="shared" si="10"/>
        <v>3482</v>
      </c>
      <c r="K68" s="169">
        <f t="shared" si="10"/>
        <v>3482</v>
      </c>
      <c r="L68" s="169">
        <f t="shared" si="10"/>
      </c>
      <c r="M68" s="169">
        <f t="shared" si="10"/>
      </c>
      <c r="N68" s="169">
        <f t="shared" si="10"/>
      </c>
      <c r="O68" s="169">
        <f t="shared" si="10"/>
      </c>
      <c r="P68" s="169">
        <f t="shared" si="10"/>
      </c>
      <c r="Q68" s="169">
        <f t="shared" si="10"/>
      </c>
      <c r="R68" s="170">
        <f t="shared" si="10"/>
      </c>
      <c r="S68" s="24"/>
    </row>
    <row r="69" spans="3:19" ht="18" customHeight="1" thickBot="1">
      <c r="C69" s="24"/>
      <c r="E69" s="134" t="s">
        <v>77</v>
      </c>
      <c r="F69" s="26"/>
      <c r="G69" s="129">
        <f aca="true" t="shared" si="11" ref="G69:R69">IF(G68="","",ROUND(G68*G65,0))</f>
        <v>17480</v>
      </c>
      <c r="H69" s="113">
        <f t="shared" si="11"/>
        <v>17480</v>
      </c>
      <c r="I69" s="113">
        <f t="shared" si="11"/>
        <v>17480</v>
      </c>
      <c r="J69" s="113">
        <f t="shared" si="11"/>
        <v>17480</v>
      </c>
      <c r="K69" s="113">
        <f t="shared" si="11"/>
        <v>17480</v>
      </c>
      <c r="L69" s="113">
        <f t="shared" si="11"/>
      </c>
      <c r="M69" s="113">
        <f t="shared" si="11"/>
      </c>
      <c r="N69" s="113">
        <f t="shared" si="11"/>
      </c>
      <c r="O69" s="113">
        <f t="shared" si="11"/>
      </c>
      <c r="P69" s="113">
        <f t="shared" si="11"/>
      </c>
      <c r="Q69" s="113">
        <f t="shared" si="11"/>
      </c>
      <c r="R69" s="114">
        <f t="shared" si="11"/>
      </c>
      <c r="S69" s="24"/>
    </row>
    <row r="70" spans="3:18" ht="18" customHeight="1" thickBot="1" thickTop="1">
      <c r="C70" s="177" t="s">
        <v>78</v>
      </c>
      <c r="D70" s="178"/>
      <c r="E70" s="178"/>
      <c r="F70" s="178"/>
      <c r="G70" s="184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</row>
    <row r="71" spans="3:19" ht="18" customHeight="1" thickTop="1">
      <c r="C71" s="47"/>
      <c r="D71" s="60" t="s">
        <v>105</v>
      </c>
      <c r="E71" s="58"/>
      <c r="F71" s="58"/>
      <c r="G71" s="179">
        <v>6080</v>
      </c>
      <c r="H71" s="180">
        <v>5930</v>
      </c>
      <c r="I71" s="180">
        <v>5750</v>
      </c>
      <c r="J71" s="180">
        <v>5520</v>
      </c>
      <c r="K71" s="180">
        <v>4860</v>
      </c>
      <c r="L71" s="181"/>
      <c r="M71" s="181"/>
      <c r="N71" s="181"/>
      <c r="O71" s="181"/>
      <c r="P71" s="181"/>
      <c r="Q71" s="181"/>
      <c r="R71" s="182"/>
      <c r="S71" s="24"/>
    </row>
    <row r="72" spans="3:19" ht="18" customHeight="1">
      <c r="C72" s="12"/>
      <c r="D72" s="7" t="s">
        <v>79</v>
      </c>
      <c r="E72" s="26"/>
      <c r="F72" s="6" t="s">
        <v>106</v>
      </c>
      <c r="G72" s="130">
        <f aca="true" t="shared" si="12" ref="G72:R72">IF(G67="","",ROUND(G71+G67,0))</f>
        <v>10533</v>
      </c>
      <c r="H72" s="115">
        <f t="shared" si="12"/>
        <v>10383</v>
      </c>
      <c r="I72" s="115">
        <f t="shared" si="12"/>
        <v>10203</v>
      </c>
      <c r="J72" s="115">
        <f t="shared" si="12"/>
        <v>9973</v>
      </c>
      <c r="K72" s="115">
        <f t="shared" si="12"/>
        <v>9313</v>
      </c>
      <c r="L72" s="115">
        <f t="shared" si="12"/>
      </c>
      <c r="M72" s="115">
        <f t="shared" si="12"/>
      </c>
      <c r="N72" s="115">
        <f t="shared" si="12"/>
      </c>
      <c r="O72" s="115">
        <f t="shared" si="12"/>
      </c>
      <c r="P72" s="115">
        <f t="shared" si="12"/>
      </c>
      <c r="Q72" s="115">
        <f t="shared" si="12"/>
      </c>
      <c r="R72" s="116">
        <f t="shared" si="12"/>
      </c>
      <c r="S72" s="24"/>
    </row>
    <row r="73" spans="3:19" ht="18" customHeight="1" thickBot="1">
      <c r="C73" s="12"/>
      <c r="D73" s="11" t="s">
        <v>80</v>
      </c>
      <c r="E73" s="26"/>
      <c r="F73" s="6" t="s">
        <v>102</v>
      </c>
      <c r="G73" s="130">
        <f aca="true" t="shared" si="13" ref="G73:R73">IF(G72="","",ROUND(G72/(G64*1000),1))</f>
        <v>5.2</v>
      </c>
      <c r="H73" s="115">
        <f t="shared" si="13"/>
        <v>5.2</v>
      </c>
      <c r="I73" s="115">
        <f t="shared" si="13"/>
        <v>5.1</v>
      </c>
      <c r="J73" s="117">
        <f t="shared" si="13"/>
        <v>5</v>
      </c>
      <c r="K73" s="115">
        <f t="shared" si="13"/>
        <v>4.6</v>
      </c>
      <c r="L73" s="115">
        <f t="shared" si="13"/>
      </c>
      <c r="M73" s="115">
        <f t="shared" si="13"/>
      </c>
      <c r="N73" s="115">
        <f t="shared" si="13"/>
      </c>
      <c r="O73" s="115">
        <f t="shared" si="13"/>
      </c>
      <c r="P73" s="115">
        <f t="shared" si="13"/>
      </c>
      <c r="Q73" s="115">
        <f t="shared" si="13"/>
      </c>
      <c r="R73" s="116">
        <f t="shared" si="13"/>
      </c>
      <c r="S73" s="24"/>
    </row>
    <row r="74" spans="3:19" ht="18" customHeight="1" thickBot="1">
      <c r="C74" s="156" t="s">
        <v>107</v>
      </c>
      <c r="D74" s="157"/>
      <c r="E74" s="158"/>
      <c r="F74" s="158"/>
      <c r="G74" s="159">
        <v>12</v>
      </c>
      <c r="H74" s="160">
        <v>12</v>
      </c>
      <c r="I74" s="160">
        <v>12</v>
      </c>
      <c r="J74" s="160">
        <v>12</v>
      </c>
      <c r="K74" s="160">
        <v>10.6</v>
      </c>
      <c r="L74" s="161"/>
      <c r="M74" s="161"/>
      <c r="N74" s="161"/>
      <c r="O74" s="161"/>
      <c r="P74" s="161"/>
      <c r="Q74" s="161"/>
      <c r="R74" s="162"/>
      <c r="S74" s="24"/>
    </row>
    <row r="75" spans="3:19" ht="18" customHeight="1" thickBot="1">
      <c r="C75" s="146" t="s">
        <v>81</v>
      </c>
      <c r="D75" s="147" t="s">
        <v>82</v>
      </c>
      <c r="E75" s="118"/>
      <c r="F75" s="118"/>
      <c r="G75" s="148" t="str">
        <f aca="true" t="shared" si="14" ref="G75:R75">IF(G73="","",IF(G74&gt;=G73,"ＯＫ","ＯＵＴ"))</f>
        <v>ＯＫ</v>
      </c>
      <c r="H75" s="149" t="str">
        <f t="shared" si="14"/>
        <v>ＯＫ</v>
      </c>
      <c r="I75" s="149" t="str">
        <f t="shared" si="14"/>
        <v>ＯＫ</v>
      </c>
      <c r="J75" s="149" t="str">
        <f t="shared" si="14"/>
        <v>ＯＫ</v>
      </c>
      <c r="K75" s="149" t="str">
        <f t="shared" si="14"/>
        <v>ＯＫ</v>
      </c>
      <c r="L75" s="149">
        <f t="shared" si="14"/>
      </c>
      <c r="M75" s="149">
        <f t="shared" si="14"/>
      </c>
      <c r="N75" s="149">
        <f t="shared" si="14"/>
      </c>
      <c r="O75" s="149">
        <f t="shared" si="14"/>
      </c>
      <c r="P75" s="149">
        <f t="shared" si="14"/>
      </c>
      <c r="Q75" s="149">
        <f t="shared" si="14"/>
      </c>
      <c r="R75" s="150">
        <f t="shared" si="14"/>
      </c>
      <c r="S75" s="24"/>
    </row>
    <row r="76" spans="3:18" ht="18" customHeight="1" thickBot="1" thickTop="1">
      <c r="C76" s="163" t="s">
        <v>83</v>
      </c>
      <c r="D76" s="164"/>
      <c r="E76" s="164"/>
      <c r="F76" s="164"/>
      <c r="G76" s="185" t="s">
        <v>84</v>
      </c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</row>
    <row r="77" spans="3:19" ht="18" customHeight="1" thickBot="1">
      <c r="C77" s="24"/>
      <c r="D77" s="151" t="s">
        <v>79</v>
      </c>
      <c r="E77" s="118"/>
      <c r="F77" s="152" t="s">
        <v>106</v>
      </c>
      <c r="G77" s="153">
        <f aca="true" t="shared" si="15" ref="G77:R77">IF(G72="","",ROUND(G72,0))</f>
        <v>10533</v>
      </c>
      <c r="H77" s="154">
        <f t="shared" si="15"/>
        <v>10383</v>
      </c>
      <c r="I77" s="154">
        <f t="shared" si="15"/>
        <v>10203</v>
      </c>
      <c r="J77" s="154">
        <f t="shared" si="15"/>
        <v>9973</v>
      </c>
      <c r="K77" s="154">
        <f t="shared" si="15"/>
        <v>9313</v>
      </c>
      <c r="L77" s="154">
        <f t="shared" si="15"/>
      </c>
      <c r="M77" s="154">
        <f t="shared" si="15"/>
      </c>
      <c r="N77" s="154">
        <f t="shared" si="15"/>
      </c>
      <c r="O77" s="154">
        <f t="shared" si="15"/>
      </c>
      <c r="P77" s="154">
        <f t="shared" si="15"/>
      </c>
      <c r="Q77" s="154">
        <f t="shared" si="15"/>
      </c>
      <c r="R77" s="155">
        <f t="shared" si="15"/>
      </c>
      <c r="S77" s="24"/>
    </row>
    <row r="78" spans="3:19" ht="18" customHeight="1">
      <c r="C78" s="57" t="s">
        <v>85</v>
      </c>
      <c r="D78" s="58"/>
      <c r="E78" s="135" t="s">
        <v>86</v>
      </c>
      <c r="F78" s="58"/>
      <c r="G78" s="142">
        <v>150</v>
      </c>
      <c r="H78" s="143">
        <v>150</v>
      </c>
      <c r="I78" s="143">
        <v>150</v>
      </c>
      <c r="J78" s="143">
        <v>150</v>
      </c>
      <c r="K78" s="143">
        <v>150</v>
      </c>
      <c r="L78" s="144"/>
      <c r="M78" s="144"/>
      <c r="N78" s="144"/>
      <c r="O78" s="144"/>
      <c r="P78" s="144"/>
      <c r="Q78" s="144"/>
      <c r="R78" s="145"/>
      <c r="S78" s="24"/>
    </row>
    <row r="79" spans="3:19" ht="18" customHeight="1">
      <c r="C79" s="10"/>
      <c r="E79" s="134" t="s">
        <v>87</v>
      </c>
      <c r="F79" s="26"/>
      <c r="G79" s="131">
        <v>0.5</v>
      </c>
      <c r="H79" s="119">
        <v>0.5</v>
      </c>
      <c r="I79" s="119">
        <v>0.5</v>
      </c>
      <c r="J79" s="119">
        <v>0.5</v>
      </c>
      <c r="K79" s="119">
        <v>0.5</v>
      </c>
      <c r="L79" s="120"/>
      <c r="M79" s="120"/>
      <c r="N79" s="120"/>
      <c r="O79" s="120"/>
      <c r="P79" s="120"/>
      <c r="Q79" s="120"/>
      <c r="R79" s="121"/>
      <c r="S79" s="24"/>
    </row>
    <row r="80" spans="3:19" ht="18" customHeight="1">
      <c r="C80" s="24"/>
      <c r="E80" s="134" t="s">
        <v>88</v>
      </c>
      <c r="F80" s="26"/>
      <c r="G80" s="132">
        <f aca="true" t="shared" si="16" ref="G80:R80">IF(G63="","",IF(G63&gt;=1500,ROUND(1-0.3*(G63/1000-1.5)/2.5,3),1))</f>
        <v>0.892</v>
      </c>
      <c r="H80" s="122">
        <f t="shared" si="16"/>
        <v>0.916</v>
      </c>
      <c r="I80" s="122">
        <f t="shared" si="16"/>
        <v>0.94</v>
      </c>
      <c r="J80" s="122">
        <f t="shared" si="16"/>
        <v>0.964</v>
      </c>
      <c r="K80" s="122">
        <f t="shared" si="16"/>
        <v>0.988</v>
      </c>
      <c r="L80" s="122">
        <f t="shared" si="16"/>
      </c>
      <c r="M80" s="122">
        <f t="shared" si="16"/>
      </c>
      <c r="N80" s="122">
        <f t="shared" si="16"/>
      </c>
      <c r="O80" s="122">
        <f t="shared" si="16"/>
      </c>
      <c r="P80" s="122">
        <f t="shared" si="16"/>
      </c>
      <c r="Q80" s="122">
        <f t="shared" si="16"/>
      </c>
      <c r="R80" s="123">
        <f t="shared" si="16"/>
      </c>
      <c r="S80" s="24"/>
    </row>
    <row r="81" spans="3:19" ht="18" customHeight="1">
      <c r="C81" s="24"/>
      <c r="E81" s="134" t="s">
        <v>89</v>
      </c>
      <c r="F81" s="26"/>
      <c r="G81" s="131">
        <v>50</v>
      </c>
      <c r="H81" s="119">
        <v>50</v>
      </c>
      <c r="I81" s="119">
        <v>50</v>
      </c>
      <c r="J81" s="119">
        <v>50</v>
      </c>
      <c r="K81" s="119">
        <v>50</v>
      </c>
      <c r="L81" s="120"/>
      <c r="M81" s="120"/>
      <c r="N81" s="120"/>
      <c r="O81" s="120"/>
      <c r="P81" s="120"/>
      <c r="Q81" s="120"/>
      <c r="R81" s="121"/>
      <c r="S81" s="24"/>
    </row>
    <row r="82" spans="3:19" ht="18" customHeight="1">
      <c r="C82" s="24"/>
      <c r="E82" s="134" t="s">
        <v>114</v>
      </c>
      <c r="F82" s="26"/>
      <c r="G82" s="132">
        <f aca="true" t="shared" si="17" ref="G82:R82">IF(G63="","",ROUND((G63/2000)^2*3.14,2))</f>
        <v>4.52</v>
      </c>
      <c r="H82" s="122">
        <f t="shared" si="17"/>
        <v>3.8</v>
      </c>
      <c r="I82" s="122">
        <f t="shared" si="17"/>
        <v>3.14</v>
      </c>
      <c r="J82" s="122">
        <f t="shared" si="17"/>
        <v>2.54</v>
      </c>
      <c r="K82" s="122">
        <f t="shared" si="17"/>
        <v>2.01</v>
      </c>
      <c r="L82" s="122">
        <f t="shared" si="17"/>
      </c>
      <c r="M82" s="122">
        <f t="shared" si="17"/>
      </c>
      <c r="N82" s="122">
        <f t="shared" si="17"/>
      </c>
      <c r="O82" s="122">
        <f t="shared" si="17"/>
      </c>
      <c r="P82" s="122">
        <f t="shared" si="17"/>
      </c>
      <c r="Q82" s="122">
        <f t="shared" si="17"/>
      </c>
      <c r="R82" s="123">
        <f t="shared" si="17"/>
      </c>
      <c r="S82" s="24"/>
    </row>
    <row r="83" spans="3:21" ht="18" customHeight="1" thickBot="1">
      <c r="C83" s="24"/>
      <c r="E83" s="134" t="s">
        <v>90</v>
      </c>
      <c r="F83" s="26"/>
      <c r="G83" s="132">
        <f aca="true" t="shared" si="18" ref="G83:R83">IF(G65="","",ROUND(G78*G79*G80*G81*G82,0))</f>
        <v>15119</v>
      </c>
      <c r="H83" s="122">
        <f t="shared" si="18"/>
        <v>13053</v>
      </c>
      <c r="I83" s="122">
        <f t="shared" si="18"/>
        <v>11069</v>
      </c>
      <c r="J83" s="122">
        <f t="shared" si="18"/>
        <v>9182</v>
      </c>
      <c r="K83" s="122">
        <f t="shared" si="18"/>
        <v>7447</v>
      </c>
      <c r="L83" s="122">
        <f t="shared" si="18"/>
      </c>
      <c r="M83" s="122">
        <f t="shared" si="18"/>
      </c>
      <c r="N83" s="122">
        <f t="shared" si="18"/>
      </c>
      <c r="O83" s="122">
        <f t="shared" si="18"/>
      </c>
      <c r="P83" s="122">
        <f t="shared" si="18"/>
      </c>
      <c r="Q83" s="122">
        <f t="shared" si="18"/>
      </c>
      <c r="R83" s="123">
        <f t="shared" si="18"/>
      </c>
      <c r="S83" s="24"/>
      <c r="U83" s="118"/>
    </row>
    <row r="84" spans="3:19" ht="18" customHeight="1">
      <c r="C84" s="24"/>
      <c r="D84" s="20"/>
      <c r="E84" s="135" t="s">
        <v>108</v>
      </c>
      <c r="F84" s="48"/>
      <c r="G84" s="136">
        <f aca="true" t="shared" si="19" ref="G84:R84">IF(G83="","",ROUND(G83+G69,0))</f>
        <v>32599</v>
      </c>
      <c r="H84" s="137">
        <f t="shared" si="19"/>
        <v>30533</v>
      </c>
      <c r="I84" s="137">
        <f t="shared" si="19"/>
        <v>28549</v>
      </c>
      <c r="J84" s="137">
        <f t="shared" si="19"/>
        <v>26662</v>
      </c>
      <c r="K84" s="137">
        <f t="shared" si="19"/>
        <v>24927</v>
      </c>
      <c r="L84" s="137">
        <f t="shared" si="19"/>
      </c>
      <c r="M84" s="137">
        <f t="shared" si="19"/>
      </c>
      <c r="N84" s="137">
        <f t="shared" si="19"/>
      </c>
      <c r="O84" s="137">
        <f t="shared" si="19"/>
      </c>
      <c r="P84" s="137">
        <f t="shared" si="19"/>
      </c>
      <c r="Q84" s="137">
        <f t="shared" si="19"/>
      </c>
      <c r="R84" s="138">
        <f t="shared" si="19"/>
      </c>
      <c r="S84" s="24"/>
    </row>
    <row r="85" spans="3:19" ht="18" customHeight="1" thickBot="1">
      <c r="C85" s="24"/>
      <c r="D85" s="20"/>
      <c r="E85" s="134" t="s">
        <v>109</v>
      </c>
      <c r="F85" s="6"/>
      <c r="G85" s="133">
        <f aca="true" t="shared" si="20" ref="G85:R85">IF(G84="","",ROUND(G84/1.2,0))</f>
        <v>27166</v>
      </c>
      <c r="H85" s="124">
        <f t="shared" si="20"/>
        <v>25444</v>
      </c>
      <c r="I85" s="124">
        <f t="shared" si="20"/>
        <v>23791</v>
      </c>
      <c r="J85" s="124">
        <f t="shared" si="20"/>
        <v>22218</v>
      </c>
      <c r="K85" s="124">
        <f t="shared" si="20"/>
        <v>20773</v>
      </c>
      <c r="L85" s="124">
        <f t="shared" si="20"/>
      </c>
      <c r="M85" s="124">
        <f t="shared" si="20"/>
      </c>
      <c r="N85" s="124">
        <f t="shared" si="20"/>
      </c>
      <c r="O85" s="124">
        <f t="shared" si="20"/>
      </c>
      <c r="P85" s="124">
        <f t="shared" si="20"/>
      </c>
      <c r="Q85" s="124">
        <f t="shared" si="20"/>
      </c>
      <c r="R85" s="125">
        <f t="shared" si="20"/>
      </c>
      <c r="S85" s="24"/>
    </row>
    <row r="86" spans="3:19" ht="18" customHeight="1" thickBot="1">
      <c r="C86" s="50" t="s">
        <v>81</v>
      </c>
      <c r="D86" s="60" t="s">
        <v>91</v>
      </c>
      <c r="E86" s="58"/>
      <c r="F86" s="58"/>
      <c r="G86" s="141" t="str">
        <f aca="true" t="shared" si="21" ref="G86:R86">IF(G85="","",IF(G85&gt;=G77,"ＯＫ","ＯＵＴ"))</f>
        <v>ＯＫ</v>
      </c>
      <c r="H86" s="139" t="str">
        <f t="shared" si="21"/>
        <v>ＯＫ</v>
      </c>
      <c r="I86" s="139" t="str">
        <f t="shared" si="21"/>
        <v>ＯＫ</v>
      </c>
      <c r="J86" s="139" t="str">
        <f t="shared" si="21"/>
        <v>ＯＫ</v>
      </c>
      <c r="K86" s="139" t="str">
        <f t="shared" si="21"/>
        <v>ＯＫ</v>
      </c>
      <c r="L86" s="139">
        <f t="shared" si="21"/>
      </c>
      <c r="M86" s="139">
        <f t="shared" si="21"/>
      </c>
      <c r="N86" s="139">
        <f t="shared" si="21"/>
      </c>
      <c r="O86" s="139">
        <f t="shared" si="21"/>
      </c>
      <c r="P86" s="139">
        <f t="shared" si="21"/>
      </c>
      <c r="Q86" s="139">
        <f t="shared" si="21"/>
      </c>
      <c r="R86" s="140">
        <f t="shared" si="21"/>
      </c>
      <c r="S86" s="24"/>
    </row>
    <row r="87" spans="3:19" ht="18" customHeight="1">
      <c r="C87" s="57" t="s">
        <v>92</v>
      </c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9"/>
      <c r="S87" s="24"/>
    </row>
    <row r="88" spans="3:19" ht="18" customHeight="1" thickBot="1">
      <c r="C88" s="24"/>
      <c r="S88" s="24"/>
    </row>
    <row r="89" spans="3:22" ht="15" thickTop="1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V89" s="176"/>
    </row>
  </sheetData>
  <sheetProtection/>
  <mergeCells count="5">
    <mergeCell ref="G3:P3"/>
    <mergeCell ref="E62:F62"/>
    <mergeCell ref="E63:F63"/>
    <mergeCell ref="C61:F61"/>
    <mergeCell ref="C3:F3"/>
  </mergeCells>
  <printOptions horizontalCentered="1"/>
  <pageMargins left="0.39375" right="0.20069444444444445" top="0.2" bottom="0.2125" header="0.512" footer="0.512"/>
  <pageSetup orientation="portrait" paperSize="9" scale="54" r:id="rId2"/>
  <rowBreaks count="1" manualBreakCount="1">
    <brk id="89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ueno2</cp:lastModifiedBy>
  <cp:lastPrinted>2010-02-26T07:10:07Z</cp:lastPrinted>
  <dcterms:created xsi:type="dcterms:W3CDTF">2011-07-12T04:01:09Z</dcterms:created>
  <dcterms:modified xsi:type="dcterms:W3CDTF">2012-03-04T13:26:12Z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