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31" windowWidth="11610" windowHeight="9540" activeTab="0"/>
  </bookViews>
  <sheets>
    <sheet name="Sheet1" sheetId="1" r:id="rId1"/>
    <sheet name="群杭二層地盤検討 " sheetId="2" r:id="rId2"/>
    <sheet name="単杭二層地盤検討" sheetId="3" r:id="rId3"/>
    <sheet name="地中応力" sheetId="4" r:id="rId4"/>
  </sheets>
  <definedNames>
    <definedName name="_xlnm.Print_Area" localSheetId="1">'群杭二層地盤検討 '!$A$1:$W$66</definedName>
    <definedName name="_xlnm.Print_Area" localSheetId="2">'単杭二層地盤検討'!$A$1:$W$195</definedName>
  </definedNames>
  <calcPr fullCalcOnLoad="1"/>
</workbook>
</file>

<file path=xl/sharedStrings.xml><?xml version="1.0" encoding="utf-8"?>
<sst xmlns="http://schemas.openxmlformats.org/spreadsheetml/2006/main" count="676" uniqueCount="258">
  <si>
    <t>（１）式</t>
  </si>
  <si>
    <t>（２）式</t>
  </si>
  <si>
    <t>ｍ</t>
  </si>
  <si>
    <t>③</t>
  </si>
  <si>
    <t>②</t>
  </si>
  <si>
    <t>④</t>
  </si>
  <si>
    <t>⑤</t>
  </si>
  <si>
    <t>m</t>
  </si>
  <si>
    <t>⑦</t>
  </si>
  <si>
    <t>⑫</t>
  </si>
  <si>
    <t>⑬</t>
  </si>
  <si>
    <t>（１）</t>
  </si>
  <si>
    <t>⑨</t>
  </si>
  <si>
    <t>⑪</t>
  </si>
  <si>
    <t>⑯</t>
  </si>
  <si>
    <t>⑰</t>
  </si>
  <si>
    <t>郡杭基礎の支持層下部粘性土層の長期耐力の検討</t>
  </si>
  <si>
    <t>①</t>
  </si>
  <si>
    <t>杭本数　ｎ</t>
  </si>
  <si>
    <t>杭１本の長期耐力Ｒ=</t>
  </si>
  <si>
    <t>KN/本</t>
  </si>
  <si>
    <t>　水位ＧＬ－</t>
  </si>
  <si>
    <t>１：杭基礎</t>
  </si>
  <si>
    <t>⑤B</t>
  </si>
  <si>
    <t>⑥L</t>
  </si>
  <si>
    <t>２：場所打ち杭</t>
  </si>
  <si>
    <t>Ｂ＊Ｌ</t>
  </si>
  <si>
    <t>杭外面寸法</t>
  </si>
  <si>
    <t>m＊</t>
  </si>
  <si>
    <t>（杭は杭の外径をＢ＊Ｌの矩形とする）</t>
  </si>
  <si>
    <t>④杭種</t>
  </si>
  <si>
    <t>（場所打ち杭は杭の外径をＢ＊Ｌの円形）</t>
  </si>
  <si>
    <t>　　杭先端位置Ｄｆ＝</t>
  </si>
  <si>
    <t>L</t>
  </si>
  <si>
    <t>⑧</t>
  </si>
  <si>
    <t>　粘土層地盤面Ｈ＝</t>
  </si>
  <si>
    <t>B</t>
  </si>
  <si>
    <t>ＰＨＣ杭：矩形</t>
  </si>
  <si>
    <t>場所打ち杭：円形</t>
  </si>
  <si>
    <t>粘土層面のおける杭外面寸法Ｂ１＝</t>
  </si>
  <si>
    <t>基礎底面の形状係数  α=１＋０．２*（Ｂ／Ｌ）=</t>
  </si>
  <si>
    <t>杭先端下にある地盤の単位体積重量　⑩　γ１＝</t>
  </si>
  <si>
    <t>下部粘土層の粘着力Ｃ＝ｑｕ／２より求める⑫ｑｕ=</t>
  </si>
  <si>
    <t>⑬C1=</t>
  </si>
  <si>
    <t>　　三軸圧縮試験結果よりの粘着力Ｃ２は</t>
  </si>
  <si>
    <t>⑭C2=</t>
  </si>
  <si>
    <t>　　設計粘着力Ｃは一軸圧縮強度よりのＣ１並びに三軸よりのＣ２とより</t>
  </si>
  <si>
    <t>⑮C=</t>
  </si>
  <si>
    <t>故に杭支持層下の粘土層により決まる長期支持力ｑｕは</t>
  </si>
  <si>
    <t>ｑｕ＝(1/3)*[1+(H-Df)/B]*[1+(H-Df)/L]*(5.3*α*C+3.0*r1*Df)=</t>
  </si>
  <si>
    <t>杭基礎の外周面の面積当たりの地盤耐力は⑰ｑ＝ｎ*Ｒ／Ｂ*Ｌ＝</t>
  </si>
  <si>
    <t>場所打ち杭基礎の外周面の面積当たりの地盤耐力は⑰ｑ=4R/B*L*π=</t>
  </si>
  <si>
    <t>郡杭基礎の支持層下部粘性土層の短期耐力の検討</t>
  </si>
  <si>
    <t>杭１本の短期耐力Ｒ=</t>
  </si>
  <si>
    <t>故に杭支持層下の粘土層により決まる短期支持力ｑｕは</t>
  </si>
  <si>
    <t>ｑｕ＝(2/3)*[1+(H-Df)/B]*[1+(H-Df)/L]*(5.3*α*C+3.0*r1*Df)=</t>
  </si>
  <si>
    <t>単杭基礎の支持地盤面下における地盤の応力度の検討（長期時）</t>
  </si>
  <si>
    <t>検討方法</t>
  </si>
  <si>
    <t>２００３年版建築基礎構造設計指針「５章直接基礎５．２節鉛直支持力（１）－３－（１）－ａ　５．２．２５式」より</t>
  </si>
  <si>
    <t>長期軸力による支持地盤面下に於ける地盤の応力度を照査します。</t>
  </si>
  <si>
    <t>極限支持力は</t>
  </si>
  <si>
    <t>ｑｕ＝α・（５．１４・ｃ）＋（ｒ・Ｈ）</t>
  </si>
  <si>
    <t>（５．２．２５）式</t>
  </si>
  <si>
    <t>（参考文献：建築基礎構造設計指針Ｐ１１６～１１７）</t>
  </si>
  <si>
    <t>杭の種別</t>
  </si>
  <si>
    <t>４："改良杭"３："鋼管杭"２："場所打ち杭"１："PHC杭"</t>
  </si>
  <si>
    <t>α（円形形状係数）</t>
  </si>
  <si>
    <t>（円形基礎α=1.2）</t>
  </si>
  <si>
    <t>γ1（土の体積重量）</t>
  </si>
  <si>
    <t>－</t>
  </si>
  <si>
    <t>（水の体積重量）＝</t>
  </si>
  <si>
    <t>γ2（土の体積重量）</t>
  </si>
  <si>
    <t>杭先端までの深さＨ１</t>
  </si>
  <si>
    <t>粘性土の深さＨ２</t>
  </si>
  <si>
    <t>m（杭先端から粘土層までの深さとする）</t>
  </si>
  <si>
    <t>Ｈ（粘土層まで深さ）</t>
  </si>
  <si>
    <t>(H=H1+H2)</t>
  </si>
  <si>
    <t>摩擦考慮長さH1/3</t>
  </si>
  <si>
    <t>Ｃ１（粘土の粘着力）</t>
  </si>
  <si>
    <t>粘土Ｎ値換算よりｑｕ／２＝１２．５×Ｎ／２</t>
  </si>
  <si>
    <t>Ｎ＝</t>
  </si>
  <si>
    <t>Ｃ２＝</t>
  </si>
  <si>
    <t>註(C1,C2いずれか採用する事）</t>
  </si>
  <si>
    <t>三軸圧縮強度試験よりの粘着力Ｃ</t>
  </si>
  <si>
    <t>Ｃ＝</t>
  </si>
  <si>
    <t>⑭</t>
  </si>
  <si>
    <t>ｑｕ=α・（5.14・ｃ）+（ｒ1・Ｈ1+r2・H2）=</t>
  </si>
  <si>
    <t>*5.14*</t>
  </si>
  <si>
    <t>＋（</t>
  </si>
  <si>
    <t>＊</t>
  </si>
  <si>
    <t>＋</t>
  </si>
  <si>
    <t>）＝</t>
  </si>
  <si>
    <t>KN/㎡</t>
  </si>
  <si>
    <t>単杭</t>
  </si>
  <si>
    <t>②ＮＬmax</t>
  </si>
  <si>
    <t>ＧＬ</t>
  </si>
  <si>
    <t>H4=</t>
  </si>
  <si>
    <t>Ｈ＝</t>
  </si>
  <si>
    <t>Ｈ1＝</t>
  </si>
  <si>
    <t>γ1=</t>
  </si>
  <si>
    <t>（粘土層までの土の重量）</t>
  </si>
  <si>
    <t>H1/3=</t>
  </si>
  <si>
    <t>H3=</t>
  </si>
  <si>
    <t>Ra</t>
  </si>
  <si>
    <t>γ’=</t>
  </si>
  <si>
    <t>H2=</t>
  </si>
  <si>
    <t>（杭先端から粘土層までの土の重量）</t>
  </si>
  <si>
    <t xml:space="preserve">  γ’* H2=</t>
  </si>
  <si>
    <t>＝</t>
  </si>
  <si>
    <t>粘性土上端面</t>
  </si>
  <si>
    <t>⑥</t>
  </si>
  <si>
    <t>⑦(D+H2)</t>
  </si>
  <si>
    <t>⑧(D+H3)</t>
  </si>
  <si>
    <t>σｓ＝</t>
  </si>
  <si>
    <t>⑨Ｐａ</t>
  </si>
  <si>
    <t>⑩Ｐｆ</t>
  </si>
  <si>
    <t>γ’Ｈ2</t>
  </si>
  <si>
    <t>≦</t>
  </si>
  <si>
    <t>ｑｕ/3</t>
  </si>
  <si>
    <t>杭径D</t>
  </si>
  <si>
    <t>mm</t>
  </si>
  <si>
    <t>使用している杭径（ｍｍ）にて入力</t>
  </si>
  <si>
    <t>条件②</t>
  </si>
  <si>
    <t>NLmax</t>
  </si>
  <si>
    <t>長期軸力</t>
  </si>
  <si>
    <t>２："設計軸力を採用"　１："杭の長期支持力を採用"</t>
  </si>
  <si>
    <t>極限先端支持力Rp</t>
  </si>
  <si>
    <t>極限支持力はＲｕ＝Ｒｐ＋Ｒｆ　となる</t>
  </si>
  <si>
    <t>極限摩擦抵抗力Rf</t>
  </si>
  <si>
    <t>極限支持力Ru</t>
  </si>
  <si>
    <t>Ｒｕは長期許容支持力Ｒａの３倍とする</t>
  </si>
  <si>
    <t>土の重量γ’・H2(上図参照）</t>
  </si>
  <si>
    <t>杭先端から粘土層までの土の重量は別途計算</t>
  </si>
  <si>
    <t>計算⑦</t>
  </si>
  <si>
    <t>（Ｄ＋Ｈ2）</t>
  </si>
  <si>
    <t>杭先端よりの応力伝達直径</t>
  </si>
  <si>
    <t>（Ｄ＋Ｈ3）</t>
  </si>
  <si>
    <t>摩擦応力伝達直径</t>
  </si>
  <si>
    <t>杭先端Pa=NLmax・Rp/Ru</t>
  </si>
  <si>
    <t>杭軸力を先端耐力比に分配した値　Ｐａ</t>
  </si>
  <si>
    <t>⑩</t>
  </si>
  <si>
    <t>杭周辺摩擦力Pf=NLmax・Rf/Ru</t>
  </si>
  <si>
    <t>杭軸力を摩擦耐力比に分配した値　Ｐｆ</t>
  </si>
  <si>
    <t>Pa／{π/4・（D+H2)^2}</t>
  </si>
  <si>
    <t>（１）式参照</t>
  </si>
  <si>
    <t>Pf／{π/4・（D+H3)^2}</t>
  </si>
  <si>
    <t>σｓ</t>
  </si>
  <si>
    <t>qa=qu*1/3</t>
  </si>
  <si>
    <t>長期軸力による支持地盤面下における地盤応力度</t>
  </si>
  <si>
    <t>判定 ⑮</t>
  </si>
  <si>
    <t>σｓ／ｑa</t>
  </si>
  <si>
    <t>σｓ／ｑa　比を求める</t>
  </si>
  <si>
    <t>σｓ≦ｑaの判定</t>
  </si>
  <si>
    <t>σｓ／ｑa≦１．０　の時「ＯＫ」</t>
  </si>
  <si>
    <t>単杭基礎の支持地盤面下における地盤の応力度の検討（短期時）</t>
  </si>
  <si>
    <t>2*ｑｕ/3</t>
  </si>
  <si>
    <t>qa=qu*2/3</t>
  </si>
  <si>
    <t>短期軸力による支持地盤面下における地盤応力度</t>
  </si>
  <si>
    <t>単杭基礎の支持地盤面下における地盤の応力度の検討（極限時）</t>
  </si>
  <si>
    <t>ｑｕ</t>
  </si>
  <si>
    <t>Nｕmax</t>
  </si>
  <si>
    <t>径杭による最大終局軸力採用</t>
  </si>
  <si>
    <t>杭先端Pa=Numax・Rp/Ru</t>
  </si>
  <si>
    <t>杭周辺摩擦力Pf=Numax・Rf/Ru</t>
  </si>
  <si>
    <t>qu</t>
  </si>
  <si>
    <t>支持地盤面下における極限地盤応力度</t>
  </si>
  <si>
    <t>判定</t>
  </si>
  <si>
    <t>σｓ／ｑｕ</t>
  </si>
  <si>
    <t>σｓ／ｑｕ　比を求める</t>
  </si>
  <si>
    <t>σｓ≦ｑｕの判定</t>
  </si>
  <si>
    <t>σｓ／ｑｕ≦１．０　の時「ＯＫ」</t>
  </si>
  <si>
    <t>ボーリングデータ</t>
  </si>
  <si>
    <t>A</t>
  </si>
  <si>
    <t>を参考にする</t>
  </si>
  <si>
    <t>地下水位ＳＧＬ－</t>
  </si>
  <si>
    <t>粘土層の深さ（Ｈ）</t>
  </si>
  <si>
    <t>杭先端の深さ（Ｈ１）</t>
  </si>
  <si>
    <t>Ｈ１</t>
  </si>
  <si>
    <t>Ｈ２＝（Ｈ－Ｈ１）</t>
  </si>
  <si>
    <t>ｍ（杭先端から粘土層までの深さＨ２）</t>
  </si>
  <si>
    <t>Ｈ</t>
  </si>
  <si>
    <t>土質名称は参考ボーリングデータより引用します</t>
  </si>
  <si>
    <t>　　　杭先端</t>
  </si>
  <si>
    <t>杭先端から粘土層までの平均土の重量を求めます。</t>
  </si>
  <si>
    <t>ｒ’・Ｈ２＝ｒ’・（Ｈ－Ｈ１）</t>
  </si>
  <si>
    <t>　　　　ｒ’</t>
  </si>
  <si>
    <t>Ｈ２</t>
  </si>
  <si>
    <t>Ｈ２＝Σ（Ｈ２ｉ＋　　＋Ｈ２ｎ）</t>
  </si>
  <si>
    <t>　　　粘土層上端</t>
  </si>
  <si>
    <t>ｒ’：杭先端から粘土層までの平均土の単位体積重量とする。</t>
  </si>
  <si>
    <t>ｒ’＝有効応力(Σｒ*ｈ)／深度(ｚ)</t>
  </si>
  <si>
    <t>有効密度は「日本道路公団」、「道路橋示方書」等に準拠します</t>
  </si>
  <si>
    <t>「深さ」は必ず水位レベルの深さを入力する事</t>
  </si>
  <si>
    <t>有効密度は水を考慮します。</t>
  </si>
  <si>
    <t>深さ</t>
  </si>
  <si>
    <t>層厚</t>
  </si>
  <si>
    <t>土質名称</t>
  </si>
  <si>
    <t>有効密度</t>
  </si>
  <si>
    <t>r*h</t>
  </si>
  <si>
    <t>有効応力</t>
  </si>
  <si>
    <t>r'</t>
  </si>
  <si>
    <t>杭先端から粘土層までの重量</t>
  </si>
  <si>
    <t>(z)</t>
  </si>
  <si>
    <t>(h)</t>
  </si>
  <si>
    <t>r=ro-10</t>
  </si>
  <si>
    <t>σ’ｚ</t>
  </si>
  <si>
    <t>=σ'z/z</t>
  </si>
  <si>
    <t>Ｈ２＝（Ｈ－Ｈ１）直接入力</t>
  </si>
  <si>
    <t>H2</t>
  </si>
  <si>
    <t>r'H2</t>
  </si>
  <si>
    <t>盛り土</t>
  </si>
  <si>
    <t>砂質シルト</t>
  </si>
  <si>
    <t>シルト混じり祖中砂</t>
  </si>
  <si>
    <t>砂混じりシルト</t>
  </si>
  <si>
    <t>礫混じりシルト質砂</t>
  </si>
  <si>
    <t>シルト質粘土</t>
  </si>
  <si>
    <t>礫混じり砂質粘土</t>
  </si>
  <si>
    <t>礫混じり中祖砂</t>
  </si>
  <si>
    <t>砂礫</t>
  </si>
  <si>
    <t>砂混じり粘土</t>
  </si>
  <si>
    <t>礫混じり祖中砂</t>
  </si>
  <si>
    <t>玉石混じり砂礫</t>
  </si>
  <si>
    <t>礫混じり細砂</t>
  </si>
  <si>
    <t>細砂</t>
  </si>
  <si>
    <t>ΣｒＨ＝</t>
  </si>
  <si>
    <t xml:space="preserve">   ①D</t>
  </si>
  <si>
    <t xml:space="preserve"> ⑦(D+H2)</t>
  </si>
  <si>
    <t xml:space="preserve"> ⑧(D+H3)</t>
  </si>
  <si>
    <t xml:space="preserve">  ①D</t>
  </si>
  <si>
    <t xml:space="preserve">  ①D</t>
  </si>
  <si>
    <t>ｒ’出力位置に設計条件</t>
  </si>
  <si>
    <t>H2を直接入力する</t>
  </si>
  <si>
    <r>
      <t>KN/m</t>
    </r>
    <r>
      <rPr>
        <vertAlign val="superscript"/>
        <sz val="12"/>
        <rFont val="ＭＳ Ｐゴシック"/>
        <family val="3"/>
      </rPr>
      <t>2</t>
    </r>
  </si>
  <si>
    <r>
      <t>KN/m</t>
    </r>
    <r>
      <rPr>
        <vertAlign val="superscript"/>
        <sz val="12"/>
        <rFont val="ＭＳ Ｐゴシック"/>
        <family val="3"/>
      </rPr>
      <t>3</t>
    </r>
    <r>
      <rPr>
        <sz val="12"/>
        <rFont val="ＭＳ Ｐゴシック"/>
        <family val="3"/>
      </rPr>
      <t>（水考慮している場合は「０」入力する。</t>
    </r>
  </si>
  <si>
    <r>
      <t>KN/m</t>
    </r>
    <r>
      <rPr>
        <vertAlign val="superscript"/>
        <sz val="12"/>
        <rFont val="ＭＳ Ｐゴシック"/>
        <family val="3"/>
      </rPr>
      <t>3</t>
    </r>
  </si>
  <si>
    <t>２層地盤</t>
  </si>
  <si>
    <r>
      <t xml:space="preserve">     π/4*(D+H2)</t>
    </r>
    <r>
      <rPr>
        <vertAlign val="superscript"/>
        <sz val="12"/>
        <rFont val="ＭＳ Ｐゴシック"/>
        <family val="3"/>
      </rPr>
      <t>2</t>
    </r>
  </si>
  <si>
    <r>
      <t xml:space="preserve">    π/4*(D+H3)</t>
    </r>
    <r>
      <rPr>
        <vertAlign val="superscript"/>
        <sz val="12"/>
        <rFont val="ＭＳ Ｐゴシック"/>
        <family val="3"/>
      </rPr>
      <t>2</t>
    </r>
  </si>
  <si>
    <r>
      <t xml:space="preserve">    π/4*(D+H2)</t>
    </r>
    <r>
      <rPr>
        <vertAlign val="superscript"/>
        <sz val="12"/>
        <rFont val="ＭＳ Ｐゴシック"/>
        <family val="3"/>
      </rPr>
      <t>2</t>
    </r>
  </si>
  <si>
    <r>
      <t xml:space="preserve">    π/4*(D+H3)</t>
    </r>
    <r>
      <rPr>
        <vertAlign val="superscript"/>
        <sz val="12"/>
        <rFont val="ＭＳ Ｐゴシック"/>
        <family val="3"/>
      </rPr>
      <t>2</t>
    </r>
  </si>
  <si>
    <r>
      <t xml:space="preserve">     π/4*(D+H3)</t>
    </r>
    <r>
      <rPr>
        <vertAlign val="superscript"/>
        <sz val="12"/>
        <rFont val="ＭＳ Ｐゴシック"/>
        <family val="3"/>
      </rPr>
      <t>2</t>
    </r>
  </si>
  <si>
    <t>２層地盤</t>
  </si>
  <si>
    <t>軟弱粘土層の地中応力の算定</t>
  </si>
  <si>
    <t>２層地盤</t>
  </si>
  <si>
    <t>④杭種</t>
  </si>
  <si>
    <r>
      <t>KN/m</t>
    </r>
    <r>
      <rPr>
        <vertAlign val="superscript"/>
        <sz val="12"/>
        <rFont val="ＭＳ Ｐゴシック"/>
        <family val="3"/>
      </rPr>
      <t>3</t>
    </r>
    <r>
      <rPr>
        <sz val="12"/>
        <rFont val="ＭＳ Ｐゴシック"/>
        <family val="3"/>
      </rPr>
      <t>(水中）</t>
    </r>
  </si>
  <si>
    <t>γ１=</t>
  </si>
  <si>
    <r>
      <t>KN/m</t>
    </r>
    <r>
      <rPr>
        <vertAlign val="superscript"/>
        <sz val="12"/>
        <rFont val="ＭＳ Ｐゴシック"/>
        <family val="3"/>
      </rPr>
      <t>3</t>
    </r>
    <r>
      <rPr>
        <sz val="12"/>
        <rFont val="ＭＳ Ｐゴシック"/>
        <family val="3"/>
      </rPr>
      <t>(大気中）</t>
    </r>
  </si>
  <si>
    <r>
      <t>KN/m</t>
    </r>
    <r>
      <rPr>
        <vertAlign val="superscript"/>
        <sz val="12"/>
        <rFont val="ＭＳ Ｐゴシック"/>
        <family val="3"/>
      </rPr>
      <t>2</t>
    </r>
  </si>
  <si>
    <r>
      <t>KN/m</t>
    </r>
    <r>
      <rPr>
        <b/>
        <vertAlign val="superscript"/>
        <sz val="12"/>
        <rFont val="ＭＳ Ｐゴシック"/>
        <family val="3"/>
      </rPr>
      <t>2</t>
    </r>
    <r>
      <rPr>
        <b/>
        <sz val="12"/>
        <rFont val="ＭＳ Ｐゴシック"/>
        <family val="3"/>
      </rPr>
      <t>（採用粘着力Ｃ）</t>
    </r>
  </si>
  <si>
    <r>
      <t>KN/m</t>
    </r>
    <r>
      <rPr>
        <vertAlign val="superscript"/>
        <sz val="12"/>
        <rFont val="ＭＳ Ｐゴシック"/>
        <family val="3"/>
      </rPr>
      <t>2</t>
    </r>
    <r>
      <rPr>
        <sz val="12"/>
        <rFont val="ＭＳ Ｐゴシック"/>
        <family val="3"/>
      </rPr>
      <t>　（杭種：杭基礎の時）</t>
    </r>
  </si>
  <si>
    <r>
      <t>KN/m</t>
    </r>
    <r>
      <rPr>
        <vertAlign val="superscript"/>
        <sz val="12"/>
        <rFont val="ＭＳ Ｐゴシック"/>
        <family val="3"/>
      </rPr>
      <t>2</t>
    </r>
    <r>
      <rPr>
        <sz val="12"/>
        <rFont val="ＭＳ Ｐゴシック"/>
        <family val="3"/>
      </rPr>
      <t>　（杭種：場所打ち杭の時）</t>
    </r>
  </si>
  <si>
    <t>二層地盤の支持力算定</t>
  </si>
  <si>
    <t>群杭の場合</t>
  </si>
  <si>
    <t>単杭の場合</t>
  </si>
  <si>
    <t>単杭の地中応力算定</t>
  </si>
  <si>
    <t>各データは着色部分を入力して下さい。</t>
  </si>
  <si>
    <t>データについては、修正可能なので各自で使いやすいように修正して下さい。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</si>
</sst>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2"/>
      <name val="ＭＳ Ｐゴシック"/>
      <family val="3"/>
    </font>
    <font>
      <b/>
      <sz val="10"/>
      <name val="Arial"/>
      <family val="2"/>
    </font>
    <font>
      <i/>
      <sz val="10"/>
      <name val="Arial"/>
      <family val="2"/>
    </font>
    <font>
      <b/>
      <i/>
      <sz val="10"/>
      <name val="Arial"/>
      <family val="2"/>
    </font>
    <font>
      <b/>
      <sz val="14"/>
      <name val="ＭＳ Ｐゴシック"/>
      <family val="3"/>
    </font>
    <font>
      <sz val="6"/>
      <name val="ＭＳ Ｐゴシック"/>
      <family val="3"/>
    </font>
    <font>
      <b/>
      <sz val="12"/>
      <name val="ＭＳ Ｐゴシック"/>
      <family val="3"/>
    </font>
    <font>
      <vertAlign val="superscript"/>
      <sz val="12"/>
      <name val="ＭＳ Ｐゴシック"/>
      <family val="3"/>
    </font>
    <font>
      <b/>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ck">
        <color indexed="8"/>
      </left>
      <right>
        <color indexed="63"/>
      </right>
      <top>
        <color indexed="63"/>
      </top>
      <bottom>
        <color indexed="63"/>
      </bottom>
    </border>
    <border>
      <left>
        <color indexed="63"/>
      </left>
      <right>
        <color indexed="63"/>
      </right>
      <top>
        <color indexed="63"/>
      </top>
      <bottom style="thin">
        <color indexed="8"/>
      </bottom>
    </border>
    <border>
      <left style="thick">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medium">
        <color indexed="8"/>
      </left>
      <right>
        <color indexed="63"/>
      </right>
      <top style="thick">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ck">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style="thick">
        <color indexed="8"/>
      </right>
      <top style="thick">
        <color indexed="8"/>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ck">
        <color indexed="8"/>
      </right>
      <top style="medium">
        <color indexed="8"/>
      </top>
      <bottom style="thin">
        <color indexed="8"/>
      </bottom>
    </border>
    <border>
      <left>
        <color indexed="63"/>
      </left>
      <right style="thick">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ck">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style="thick">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42">
    <xf numFmtId="0" fontId="0" fillId="0" borderId="0" xfId="0" applyAlignment="1">
      <alignment/>
    </xf>
    <xf numFmtId="0" fontId="0" fillId="0" borderId="0" xfId="0" applyNumberFormat="1" applyFont="1" applyAlignment="1">
      <alignment vertical="center"/>
    </xf>
    <xf numFmtId="0" fontId="0" fillId="0" borderId="10" xfId="0" applyNumberFormat="1" applyFont="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0" fillId="32" borderId="12" xfId="0" applyNumberFormat="1" applyFont="1" applyFill="1" applyBorder="1" applyAlignment="1">
      <alignment vertical="center"/>
    </xf>
    <xf numFmtId="0" fontId="0" fillId="33" borderId="11" xfId="0" applyNumberFormat="1" applyFont="1" applyFill="1" applyBorder="1" applyAlignment="1">
      <alignment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4" xfId="0" applyBorder="1" applyAlignment="1">
      <alignment vertical="center"/>
    </xf>
    <xf numFmtId="0" fontId="0" fillId="0" borderId="14" xfId="0" applyNumberFormat="1" applyFont="1" applyBorder="1" applyAlignment="1">
      <alignment vertical="center"/>
    </xf>
    <xf numFmtId="0" fontId="0" fillId="32" borderId="15" xfId="0" applyNumberFormat="1" applyFont="1" applyFill="1" applyBorder="1" applyAlignment="1">
      <alignment vertical="center"/>
    </xf>
    <xf numFmtId="0" fontId="0" fillId="33" borderId="14" xfId="0" applyNumberFormat="1" applyFont="1" applyFill="1" applyBorder="1" applyAlignment="1">
      <alignment vertical="center"/>
    </xf>
    <xf numFmtId="0" fontId="0" fillId="33" borderId="0" xfId="0" applyNumberFormat="1" applyFont="1" applyFill="1" applyAlignment="1">
      <alignment vertical="center"/>
    </xf>
    <xf numFmtId="0" fontId="0" fillId="0" borderId="0" xfId="0" applyAlignment="1">
      <alignment vertical="center"/>
    </xf>
    <xf numFmtId="0" fontId="0" fillId="0" borderId="13" xfId="0" applyNumberFormat="1" applyFont="1" applyBorder="1" applyAlignment="1">
      <alignment vertical="center"/>
    </xf>
    <xf numFmtId="0" fontId="0" fillId="0" borderId="14" xfId="0" applyNumberFormat="1" applyBorder="1" applyAlignment="1">
      <alignment vertical="center"/>
    </xf>
    <xf numFmtId="2" fontId="0" fillId="0" borderId="15" xfId="0" applyNumberFormat="1" applyBorder="1" applyAlignment="1">
      <alignment vertical="center"/>
    </xf>
    <xf numFmtId="2" fontId="0" fillId="33" borderId="14" xfId="0" applyNumberFormat="1" applyFont="1" applyFill="1" applyBorder="1" applyAlignment="1">
      <alignment vertical="center"/>
    </xf>
    <xf numFmtId="0" fontId="0" fillId="0" borderId="15" xfId="0" applyNumberFormat="1" applyBorder="1" applyAlignment="1">
      <alignment vertical="center"/>
    </xf>
    <xf numFmtId="0" fontId="6" fillId="33" borderId="14" xfId="0" applyNumberFormat="1" applyFont="1" applyFill="1" applyBorder="1" applyAlignment="1">
      <alignment horizontal="center" vertical="center"/>
    </xf>
    <xf numFmtId="0" fontId="0" fillId="32" borderId="15" xfId="0" applyNumberFormat="1" applyFont="1" applyFill="1" applyBorder="1" applyAlignment="1">
      <alignment horizontal="center" vertical="center"/>
    </xf>
    <xf numFmtId="0" fontId="0" fillId="0" borderId="16" xfId="0" applyNumberFormat="1" applyFont="1" applyBorder="1" applyAlignment="1">
      <alignment vertical="center"/>
    </xf>
    <xf numFmtId="0" fontId="0" fillId="33" borderId="16" xfId="0" applyNumberFormat="1" applyFont="1" applyFill="1" applyBorder="1" applyAlignment="1">
      <alignment vertical="center"/>
    </xf>
    <xf numFmtId="2" fontId="0" fillId="32" borderId="15" xfId="0" applyNumberFormat="1" applyFont="1" applyFill="1" applyBorder="1" applyAlignment="1">
      <alignment horizontal="center" vertical="center"/>
    </xf>
    <xf numFmtId="0" fontId="0" fillId="0" borderId="16"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horizontal="centerContinuous" vertical="center"/>
    </xf>
    <xf numFmtId="0" fontId="6" fillId="0" borderId="0" xfId="0" applyNumberFormat="1" applyFont="1" applyAlignment="1">
      <alignment vertical="center"/>
    </xf>
    <xf numFmtId="0" fontId="0" fillId="0" borderId="0" xfId="0" applyNumberFormat="1" applyAlignment="1">
      <alignment vertical="center"/>
    </xf>
    <xf numFmtId="0" fontId="0" fillId="0" borderId="16" xfId="0" applyBorder="1" applyAlignment="1">
      <alignment vertical="center"/>
    </xf>
    <xf numFmtId="0" fontId="0" fillId="0" borderId="0" xfId="0" applyNumberFormat="1" applyFont="1" applyAlignment="1">
      <alignment horizontal="right" vertical="center"/>
    </xf>
    <xf numFmtId="0" fontId="6" fillId="0" borderId="0" xfId="0" applyNumberFormat="1" applyFont="1" applyAlignment="1">
      <alignment horizontal="centerContinuous" vertical="center"/>
    </xf>
    <xf numFmtId="0" fontId="0" fillId="0" borderId="0" xfId="0" applyNumberFormat="1" applyFont="1" applyAlignment="1">
      <alignment horizontal="left" vertical="center"/>
    </xf>
    <xf numFmtId="2" fontId="0" fillId="0" borderId="15" xfId="0" applyNumberFormat="1" applyFont="1" applyBorder="1" applyAlignment="1">
      <alignment horizontal="center" vertical="center"/>
    </xf>
    <xf numFmtId="0" fontId="0" fillId="33" borderId="0" xfId="0" applyFont="1" applyFill="1" applyAlignment="1">
      <alignment vertical="center"/>
    </xf>
    <xf numFmtId="0" fontId="0" fillId="0" borderId="15" xfId="0" applyNumberFormat="1" applyFont="1" applyBorder="1" applyAlignment="1">
      <alignment horizontal="center" vertical="center"/>
    </xf>
    <xf numFmtId="0" fontId="6" fillId="0" borderId="16" xfId="0" applyNumberFormat="1" applyFont="1" applyBorder="1" applyAlignment="1">
      <alignment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vertical="center"/>
    </xf>
    <xf numFmtId="176" fontId="0" fillId="32" borderId="15" xfId="0" applyNumberFormat="1" applyFont="1" applyFill="1" applyBorder="1" applyAlignment="1">
      <alignment vertical="center"/>
    </xf>
    <xf numFmtId="0" fontId="0" fillId="0" borderId="16" xfId="0" applyNumberFormat="1" applyBorder="1" applyAlignment="1">
      <alignment vertical="center"/>
    </xf>
    <xf numFmtId="0" fontId="0" fillId="33" borderId="15" xfId="0" applyNumberFormat="1" applyFont="1" applyFill="1" applyBorder="1" applyAlignment="1">
      <alignment vertical="center"/>
    </xf>
    <xf numFmtId="0" fontId="0" fillId="0" borderId="16" xfId="0" applyFont="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centerContinuous" vertical="center"/>
    </xf>
    <xf numFmtId="0" fontId="0" fillId="0" borderId="10" xfId="0" applyNumberFormat="1" applyFont="1" applyBorder="1" applyAlignment="1">
      <alignment horizontal="right" vertical="center"/>
    </xf>
    <xf numFmtId="0" fontId="0" fillId="0" borderId="17" xfId="0" applyBorder="1" applyAlignment="1">
      <alignment vertical="center"/>
    </xf>
    <xf numFmtId="0" fontId="0" fillId="33" borderId="0" xfId="0" applyNumberFormat="1" applyFont="1" applyFill="1" applyBorder="1" applyAlignment="1">
      <alignment vertical="center"/>
    </xf>
    <xf numFmtId="0" fontId="0" fillId="0" borderId="17" xfId="0" applyNumberFormat="1" applyFont="1" applyBorder="1" applyAlignment="1">
      <alignment horizontal="right" vertical="center"/>
    </xf>
    <xf numFmtId="0" fontId="0" fillId="0" borderId="0" xfId="0"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33" borderId="0" xfId="0" applyNumberFormat="1" applyFont="1" applyFill="1" applyAlignment="1">
      <alignment horizontal="center" vertical="center"/>
    </xf>
    <xf numFmtId="0" fontId="0" fillId="0" borderId="0" xfId="0" applyFont="1" applyAlignment="1">
      <alignment vertical="center"/>
    </xf>
    <xf numFmtId="0" fontId="0" fillId="0" borderId="10" xfId="0" applyBorder="1" applyAlignment="1">
      <alignment vertical="center"/>
    </xf>
    <xf numFmtId="0" fontId="0" fillId="0" borderId="10" xfId="0" applyNumberFormat="1" applyFont="1" applyBorder="1" applyAlignment="1">
      <alignment horizontal="center" vertical="center"/>
    </xf>
    <xf numFmtId="0" fontId="0" fillId="32" borderId="11" xfId="0" applyNumberFormat="1" applyFont="1" applyFill="1" applyBorder="1" applyAlignment="1">
      <alignment horizontal="centerContinuous" vertical="center"/>
    </xf>
    <xf numFmtId="0" fontId="0" fillId="32" borderId="0" xfId="0" applyFont="1" applyFill="1" applyAlignment="1">
      <alignment vertical="center"/>
    </xf>
    <xf numFmtId="0" fontId="0" fillId="0" borderId="14" xfId="0" applyNumberFormat="1" applyFont="1" applyBorder="1" applyAlignment="1">
      <alignment horizontal="centerContinuous"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0" fillId="0" borderId="19" xfId="0" applyNumberFormat="1" applyBorder="1" applyAlignment="1">
      <alignment vertical="center"/>
    </xf>
    <xf numFmtId="0" fontId="0" fillId="0" borderId="20" xfId="0" applyNumberFormat="1" applyBorder="1" applyAlignment="1">
      <alignment vertical="center"/>
    </xf>
    <xf numFmtId="0" fontId="0" fillId="32" borderId="21" xfId="0" applyFont="1" applyFill="1" applyBorder="1" applyAlignment="1">
      <alignment vertical="center"/>
    </xf>
    <xf numFmtId="0" fontId="0" fillId="32" borderId="20" xfId="0" applyNumberFormat="1" applyFont="1" applyFill="1" applyBorder="1" applyAlignment="1">
      <alignment vertical="center"/>
    </xf>
    <xf numFmtId="0" fontId="0" fillId="0" borderId="22" xfId="0" applyNumberFormat="1" applyBorder="1" applyAlignment="1">
      <alignment vertical="center"/>
    </xf>
    <xf numFmtId="0" fontId="0" fillId="32" borderId="23" xfId="0" applyNumberFormat="1" applyFont="1" applyFill="1" applyBorder="1" applyAlignment="1">
      <alignment horizontal="center" vertical="center"/>
    </xf>
    <xf numFmtId="0" fontId="0" fillId="32" borderId="24" xfId="0" applyNumberFormat="1" applyFont="1" applyFill="1" applyBorder="1" applyAlignment="1">
      <alignment horizontal="center" vertical="center"/>
    </xf>
    <xf numFmtId="2" fontId="0" fillId="32" borderId="25" xfId="0" applyNumberFormat="1" applyFont="1" applyFill="1" applyBorder="1" applyAlignment="1">
      <alignment vertical="center"/>
    </xf>
    <xf numFmtId="2" fontId="0" fillId="32" borderId="26" xfId="0" applyNumberFormat="1" applyFont="1" applyFill="1" applyBorder="1" applyAlignment="1">
      <alignment vertical="center"/>
    </xf>
    <xf numFmtId="0" fontId="0" fillId="32" borderId="23" xfId="0" applyNumberFormat="1" applyFont="1" applyFill="1" applyBorder="1" applyAlignment="1">
      <alignment horizontal="centerContinuous" vertical="center"/>
    </xf>
    <xf numFmtId="0" fontId="0" fillId="32" borderId="24" xfId="0" applyFont="1" applyFill="1" applyBorder="1" applyAlignment="1">
      <alignment vertical="center"/>
    </xf>
    <xf numFmtId="0" fontId="0" fillId="32" borderId="25" xfId="0" applyNumberFormat="1" applyFont="1" applyFill="1" applyBorder="1" applyAlignment="1">
      <alignment vertical="center"/>
    </xf>
    <xf numFmtId="0" fontId="0" fillId="32" borderId="26" xfId="0" applyNumberFormat="1" applyFont="1" applyFill="1" applyBorder="1" applyAlignment="1">
      <alignment vertical="center"/>
    </xf>
    <xf numFmtId="0" fontId="0" fillId="32" borderId="26" xfId="0" applyFont="1" applyFill="1" applyBorder="1" applyAlignment="1">
      <alignment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2" fontId="0" fillId="0" borderId="25" xfId="0" applyNumberFormat="1" applyBorder="1" applyAlignment="1">
      <alignment vertical="center"/>
    </xf>
    <xf numFmtId="2" fontId="0" fillId="0" borderId="26" xfId="0" applyNumberFormat="1" applyBorder="1" applyAlignment="1">
      <alignment vertical="center"/>
    </xf>
    <xf numFmtId="0" fontId="0" fillId="0" borderId="23" xfId="0" applyNumberFormat="1" applyFont="1" applyBorder="1" applyAlignment="1">
      <alignment vertical="center"/>
    </xf>
    <xf numFmtId="0" fontId="0" fillId="0" borderId="26" xfId="0" applyNumberFormat="1" applyFont="1" applyBorder="1" applyAlignment="1">
      <alignment horizontal="centerContinuous" vertical="center"/>
    </xf>
    <xf numFmtId="0" fontId="0" fillId="0" borderId="26" xfId="0" applyNumberFormat="1" applyFont="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32" borderId="24" xfId="0" applyNumberFormat="1" applyFill="1" applyBorder="1" applyAlignment="1">
      <alignment horizontal="center" vertical="center"/>
    </xf>
    <xf numFmtId="0" fontId="0" fillId="0" borderId="24" xfId="0" applyNumberFormat="1" applyBorder="1" applyAlignment="1">
      <alignment horizontal="center" vertical="center"/>
    </xf>
    <xf numFmtId="0" fontId="0" fillId="0" borderId="30" xfId="0" applyNumberFormat="1" applyBorder="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31" xfId="0" applyNumberFormat="1" applyBorder="1" applyAlignment="1">
      <alignment vertical="center"/>
    </xf>
    <xf numFmtId="0" fontId="0" fillId="0" borderId="32" xfId="0" applyBorder="1" applyAlignment="1">
      <alignment vertical="center"/>
    </xf>
    <xf numFmtId="0" fontId="0" fillId="0" borderId="32" xfId="0" applyNumberFormat="1" applyBorder="1" applyAlignment="1">
      <alignment vertical="center"/>
    </xf>
    <xf numFmtId="0" fontId="0" fillId="0" borderId="32" xfId="0" applyNumberFormat="1" applyFont="1" applyBorder="1" applyAlignment="1">
      <alignment vertical="center"/>
    </xf>
    <xf numFmtId="0" fontId="0" fillId="32" borderId="33" xfId="0" applyNumberFormat="1" applyFont="1" applyFill="1" applyBorder="1" applyAlignment="1">
      <alignment vertical="center"/>
    </xf>
    <xf numFmtId="0" fontId="0" fillId="33" borderId="32" xfId="0" applyNumberFormat="1" applyFont="1" applyFill="1" applyBorder="1" applyAlignment="1">
      <alignment vertical="center"/>
    </xf>
    <xf numFmtId="0" fontId="0" fillId="32" borderId="33" xfId="0" applyNumberFormat="1" applyFont="1" applyFill="1" applyBorder="1" applyAlignment="1">
      <alignment horizontal="center" vertical="center"/>
    </xf>
    <xf numFmtId="0" fontId="0" fillId="34" borderId="33" xfId="0" applyNumberFormat="1" applyFont="1" applyFill="1" applyBorder="1" applyAlignment="1">
      <alignment vertical="center"/>
    </xf>
    <xf numFmtId="0" fontId="0" fillId="34" borderId="32" xfId="0" applyFont="1" applyFill="1" applyBorder="1" applyAlignment="1">
      <alignment vertical="center"/>
    </xf>
    <xf numFmtId="0" fontId="0" fillId="34" borderId="34" xfId="0" applyFont="1" applyFill="1" applyBorder="1" applyAlignment="1">
      <alignment vertical="center"/>
    </xf>
    <xf numFmtId="0" fontId="0" fillId="0" borderId="31" xfId="0" applyNumberFormat="1" applyFont="1" applyBorder="1" applyAlignment="1">
      <alignment vertical="center"/>
    </xf>
    <xf numFmtId="0" fontId="0" fillId="0" borderId="33" xfId="0" applyNumberFormat="1" applyBorder="1" applyAlignment="1">
      <alignment vertical="center"/>
    </xf>
    <xf numFmtId="0" fontId="0" fillId="0" borderId="35" xfId="0" applyBorder="1" applyAlignment="1">
      <alignment vertical="center"/>
    </xf>
    <xf numFmtId="0" fontId="0" fillId="0" borderId="12" xfId="0" applyNumberFormat="1" applyFont="1" applyBorder="1" applyAlignment="1">
      <alignment horizontal="center" vertical="center"/>
    </xf>
    <xf numFmtId="0" fontId="0" fillId="0" borderId="33" xfId="0" applyNumberFormat="1" applyFont="1" applyBorder="1" applyAlignment="1">
      <alignment vertical="center"/>
    </xf>
    <xf numFmtId="0" fontId="0" fillId="0" borderId="33" xfId="0" applyNumberFormat="1" applyFont="1" applyBorder="1" applyAlignment="1">
      <alignment horizontal="center" vertical="center"/>
    </xf>
    <xf numFmtId="0" fontId="0" fillId="32" borderId="23" xfId="0" applyNumberFormat="1" applyFont="1" applyFill="1" applyBorder="1" applyAlignment="1">
      <alignment vertical="center"/>
    </xf>
    <xf numFmtId="0" fontId="0" fillId="32" borderId="36" xfId="0" applyNumberFormat="1" applyFont="1" applyFill="1" applyBorder="1" applyAlignment="1">
      <alignment vertical="center"/>
    </xf>
    <xf numFmtId="0" fontId="0" fillId="0" borderId="36" xfId="0" applyNumberFormat="1" applyBorder="1" applyAlignment="1">
      <alignment vertical="center"/>
    </xf>
    <xf numFmtId="0" fontId="0" fillId="33" borderId="23" xfId="0" applyNumberFormat="1" applyFont="1" applyFill="1" applyBorder="1" applyAlignment="1">
      <alignment vertical="center"/>
    </xf>
    <xf numFmtId="0" fontId="0" fillId="33" borderId="36" xfId="0" applyNumberFormat="1" applyFont="1" applyFill="1" applyBorder="1" applyAlignment="1">
      <alignment vertical="center"/>
    </xf>
    <xf numFmtId="0" fontId="0" fillId="33" borderId="26" xfId="0" applyNumberFormat="1" applyFont="1" applyFill="1" applyBorder="1" applyAlignment="1">
      <alignment vertical="center"/>
    </xf>
    <xf numFmtId="0" fontId="0" fillId="33" borderId="24" xfId="0" applyNumberFormat="1" applyFont="1" applyFill="1" applyBorder="1" applyAlignment="1">
      <alignment vertical="center"/>
    </xf>
    <xf numFmtId="0" fontId="0" fillId="0" borderId="36" xfId="0" applyNumberFormat="1" applyFont="1" applyBorder="1" applyAlignment="1">
      <alignment vertical="center"/>
    </xf>
    <xf numFmtId="0" fontId="0" fillId="0" borderId="37" xfId="0" applyNumberFormat="1" applyFont="1" applyBorder="1" applyAlignment="1">
      <alignment vertical="center"/>
    </xf>
    <xf numFmtId="2" fontId="0" fillId="34" borderId="38" xfId="0" applyNumberFormat="1" applyFont="1" applyFill="1" applyBorder="1" applyAlignment="1">
      <alignment vertical="center"/>
    </xf>
    <xf numFmtId="0" fontId="6" fillId="34" borderId="39" xfId="0" applyNumberFormat="1" applyFont="1" applyFill="1" applyBorder="1" applyAlignment="1">
      <alignment horizontal="center" vertical="center"/>
    </xf>
    <xf numFmtId="0" fontId="0" fillId="33" borderId="32" xfId="0" applyNumberFormat="1" applyFont="1" applyFill="1" applyBorder="1" applyAlignment="1">
      <alignment horizontal="center" vertical="center"/>
    </xf>
    <xf numFmtId="0" fontId="0" fillId="33" borderId="32" xfId="0" applyFont="1" applyFill="1" applyBorder="1" applyAlignment="1">
      <alignment vertical="center"/>
    </xf>
    <xf numFmtId="0" fontId="0" fillId="33" borderId="34" xfId="0" applyFont="1" applyFill="1" applyBorder="1" applyAlignment="1">
      <alignment vertical="center"/>
    </xf>
    <xf numFmtId="176" fontId="0" fillId="0" borderId="21" xfId="0" applyNumberFormat="1" applyBorder="1" applyAlignment="1">
      <alignment vertical="center"/>
    </xf>
    <xf numFmtId="176" fontId="0" fillId="0" borderId="14" xfId="0" applyNumberFormat="1" applyBorder="1" applyAlignment="1">
      <alignment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0" fontId="0" fillId="0" borderId="0" xfId="0" applyNumberFormat="1" applyFont="1" applyBorder="1" applyAlignment="1">
      <alignment horizontal="center" vertical="center"/>
    </xf>
    <xf numFmtId="0" fontId="0" fillId="0" borderId="0" xfId="0" applyNumberFormat="1" applyBorder="1" applyAlignment="1">
      <alignment vertical="center"/>
    </xf>
    <xf numFmtId="0" fontId="0" fillId="0" borderId="43" xfId="0" applyNumberFormat="1" applyBorder="1" applyAlignment="1">
      <alignment vertical="center"/>
    </xf>
    <xf numFmtId="0" fontId="0" fillId="0" borderId="44" xfId="0" applyNumberFormat="1" applyFont="1" applyBorder="1" applyAlignment="1">
      <alignment horizontal="center" vertical="center"/>
    </xf>
    <xf numFmtId="0" fontId="0" fillId="0" borderId="44" xfId="0" applyNumberForma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NumberFormat="1" applyFont="1" applyAlignment="1">
      <alignment horizontal="lef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0</xdr:row>
      <xdr:rowOff>0</xdr:rowOff>
    </xdr:from>
    <xdr:to>
      <xdr:col>15</xdr:col>
      <xdr:colOff>266700</xdr:colOff>
      <xdr:row>7</xdr:row>
      <xdr:rowOff>161925</xdr:rowOff>
    </xdr:to>
    <xdr:pic>
      <xdr:nvPicPr>
        <xdr:cNvPr id="1" name="図 1">
          <a:hlinkClick r:id="rId3"/>
        </xdr:cNvPr>
        <xdr:cNvPicPr preferRelativeResize="1">
          <a:picLocks noChangeAspect="1"/>
        </xdr:cNvPicPr>
      </xdr:nvPicPr>
      <xdr:blipFill>
        <a:blip r:embed="rId1"/>
        <a:stretch>
          <a:fillRect/>
        </a:stretch>
      </xdr:blipFill>
      <xdr:spPr>
        <a:xfrm>
          <a:off x="3105150" y="0"/>
          <a:ext cx="74485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9</xdr:row>
      <xdr:rowOff>9525</xdr:rowOff>
    </xdr:from>
    <xdr:to>
      <xdr:col>21</xdr:col>
      <xdr:colOff>76200</xdr:colOff>
      <xdr:row>14</xdr:row>
      <xdr:rowOff>152400</xdr:rowOff>
    </xdr:to>
    <xdr:grpSp>
      <xdr:nvGrpSpPr>
        <xdr:cNvPr id="1" name="Group 182"/>
        <xdr:cNvGrpSpPr>
          <a:grpSpLocks/>
        </xdr:cNvGrpSpPr>
      </xdr:nvGrpSpPr>
      <xdr:grpSpPr>
        <a:xfrm>
          <a:off x="7286625" y="2257425"/>
          <a:ext cx="2571750" cy="1333500"/>
          <a:chOff x="765" y="237"/>
          <a:chExt cx="270" cy="140"/>
        </a:xfrm>
        <a:solidFill>
          <a:srgbClr val="FFFFFF"/>
        </a:solidFill>
      </xdr:grpSpPr>
      <xdr:sp>
        <xdr:nvSpPr>
          <xdr:cNvPr id="2" name="Rectangle 14"/>
          <xdr:cNvSpPr>
            <a:spLocks/>
          </xdr:cNvSpPr>
        </xdr:nvSpPr>
        <xdr:spPr>
          <a:xfrm>
            <a:off x="772" y="242"/>
            <a:ext cx="69"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8"/>
          <xdr:cNvSpPr>
            <a:spLocks/>
          </xdr:cNvSpPr>
        </xdr:nvSpPr>
        <xdr:spPr>
          <a:xfrm>
            <a:off x="920" y="279"/>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9"/>
          <xdr:cNvSpPr>
            <a:spLocks/>
          </xdr:cNvSpPr>
        </xdr:nvSpPr>
        <xdr:spPr>
          <a:xfrm>
            <a:off x="989" y="279"/>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xdr:cNvSpPr>
        </xdr:nvSpPr>
        <xdr:spPr>
          <a:xfrm>
            <a:off x="772"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6"/>
          <xdr:cNvSpPr>
            <a:spLocks/>
          </xdr:cNvSpPr>
        </xdr:nvSpPr>
        <xdr:spPr>
          <a:xfrm>
            <a:off x="841"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7"/>
          <xdr:cNvSpPr>
            <a:spLocks/>
          </xdr:cNvSpPr>
        </xdr:nvSpPr>
        <xdr:spPr>
          <a:xfrm>
            <a:off x="765" y="363"/>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18"/>
          <xdr:cNvSpPr>
            <a:spLocks/>
          </xdr:cNvSpPr>
        </xdr:nvSpPr>
        <xdr:spPr>
          <a:xfrm>
            <a:off x="773"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9"/>
          <xdr:cNvSpPr>
            <a:spLocks/>
          </xdr:cNvSpPr>
        </xdr:nvSpPr>
        <xdr:spPr>
          <a:xfrm>
            <a:off x="820"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21"/>
          <xdr:cNvSpPr>
            <a:spLocks/>
          </xdr:cNvSpPr>
        </xdr:nvSpPr>
        <xdr:spPr>
          <a:xfrm>
            <a:off x="773"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22"/>
          <xdr:cNvSpPr>
            <a:spLocks/>
          </xdr:cNvSpPr>
        </xdr:nvSpPr>
        <xdr:spPr>
          <a:xfrm>
            <a:off x="820"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3"/>
          <xdr:cNvSpPr>
            <a:spLocks/>
          </xdr:cNvSpPr>
        </xdr:nvSpPr>
        <xdr:spPr>
          <a:xfrm>
            <a:off x="841" y="2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4"/>
          <xdr:cNvSpPr>
            <a:spLocks/>
          </xdr:cNvSpPr>
        </xdr:nvSpPr>
        <xdr:spPr>
          <a:xfrm>
            <a:off x="841" y="311"/>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a:off x="885" y="237"/>
            <a:ext cx="0" cy="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27"/>
          <xdr:cNvSpPr>
            <a:spLocks/>
          </xdr:cNvSpPr>
        </xdr:nvSpPr>
        <xdr:spPr>
          <a:xfrm>
            <a:off x="921" y="244"/>
            <a:ext cx="70" cy="7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30"/>
          <xdr:cNvSpPr>
            <a:spLocks/>
          </xdr:cNvSpPr>
        </xdr:nvSpPr>
        <xdr:spPr>
          <a:xfrm>
            <a:off x="914" y="361"/>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1"/>
          <xdr:cNvSpPr>
            <a:spLocks/>
          </xdr:cNvSpPr>
        </xdr:nvSpPr>
        <xdr:spPr>
          <a:xfrm>
            <a:off x="957" y="24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2"/>
          <xdr:cNvSpPr>
            <a:spLocks/>
          </xdr:cNvSpPr>
        </xdr:nvSpPr>
        <xdr:spPr>
          <a:xfrm>
            <a:off x="957" y="31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3"/>
          <xdr:cNvSpPr>
            <a:spLocks/>
          </xdr:cNvSpPr>
        </xdr:nvSpPr>
        <xdr:spPr>
          <a:xfrm>
            <a:off x="1026" y="23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304800</xdr:colOff>
      <xdr:row>41</xdr:row>
      <xdr:rowOff>57150</xdr:rowOff>
    </xdr:from>
    <xdr:to>
      <xdr:col>21</xdr:col>
      <xdr:colOff>76200</xdr:colOff>
      <xdr:row>46</xdr:row>
      <xdr:rowOff>200025</xdr:rowOff>
    </xdr:to>
    <xdr:grpSp>
      <xdr:nvGrpSpPr>
        <xdr:cNvPr id="20" name="Group 183"/>
        <xdr:cNvGrpSpPr>
          <a:grpSpLocks/>
        </xdr:cNvGrpSpPr>
      </xdr:nvGrpSpPr>
      <xdr:grpSpPr>
        <a:xfrm>
          <a:off x="7286625" y="10029825"/>
          <a:ext cx="2571750" cy="1333500"/>
          <a:chOff x="765" y="237"/>
          <a:chExt cx="270" cy="140"/>
        </a:xfrm>
        <a:solidFill>
          <a:srgbClr val="FFFFFF"/>
        </a:solidFill>
      </xdr:grpSpPr>
      <xdr:sp>
        <xdr:nvSpPr>
          <xdr:cNvPr id="21" name="Rectangle 184"/>
          <xdr:cNvSpPr>
            <a:spLocks/>
          </xdr:cNvSpPr>
        </xdr:nvSpPr>
        <xdr:spPr>
          <a:xfrm>
            <a:off x="772" y="242"/>
            <a:ext cx="69"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85"/>
          <xdr:cNvSpPr>
            <a:spLocks/>
          </xdr:cNvSpPr>
        </xdr:nvSpPr>
        <xdr:spPr>
          <a:xfrm>
            <a:off x="920" y="279"/>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86"/>
          <xdr:cNvSpPr>
            <a:spLocks/>
          </xdr:cNvSpPr>
        </xdr:nvSpPr>
        <xdr:spPr>
          <a:xfrm>
            <a:off x="989" y="279"/>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87"/>
          <xdr:cNvSpPr>
            <a:spLocks/>
          </xdr:cNvSpPr>
        </xdr:nvSpPr>
        <xdr:spPr>
          <a:xfrm>
            <a:off x="772"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88"/>
          <xdr:cNvSpPr>
            <a:spLocks/>
          </xdr:cNvSpPr>
        </xdr:nvSpPr>
        <xdr:spPr>
          <a:xfrm>
            <a:off x="841"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89"/>
          <xdr:cNvSpPr>
            <a:spLocks/>
          </xdr:cNvSpPr>
        </xdr:nvSpPr>
        <xdr:spPr>
          <a:xfrm>
            <a:off x="765" y="363"/>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190"/>
          <xdr:cNvSpPr>
            <a:spLocks/>
          </xdr:cNvSpPr>
        </xdr:nvSpPr>
        <xdr:spPr>
          <a:xfrm>
            <a:off x="773"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Oval 191"/>
          <xdr:cNvSpPr>
            <a:spLocks/>
          </xdr:cNvSpPr>
        </xdr:nvSpPr>
        <xdr:spPr>
          <a:xfrm>
            <a:off x="820"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192"/>
          <xdr:cNvSpPr>
            <a:spLocks/>
          </xdr:cNvSpPr>
        </xdr:nvSpPr>
        <xdr:spPr>
          <a:xfrm>
            <a:off x="773"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193"/>
          <xdr:cNvSpPr>
            <a:spLocks/>
          </xdr:cNvSpPr>
        </xdr:nvSpPr>
        <xdr:spPr>
          <a:xfrm>
            <a:off x="820"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94"/>
          <xdr:cNvSpPr>
            <a:spLocks/>
          </xdr:cNvSpPr>
        </xdr:nvSpPr>
        <xdr:spPr>
          <a:xfrm>
            <a:off x="841" y="2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95"/>
          <xdr:cNvSpPr>
            <a:spLocks/>
          </xdr:cNvSpPr>
        </xdr:nvSpPr>
        <xdr:spPr>
          <a:xfrm>
            <a:off x="841" y="311"/>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96"/>
          <xdr:cNvSpPr>
            <a:spLocks/>
          </xdr:cNvSpPr>
        </xdr:nvSpPr>
        <xdr:spPr>
          <a:xfrm>
            <a:off x="885" y="237"/>
            <a:ext cx="0" cy="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197"/>
          <xdr:cNvSpPr>
            <a:spLocks/>
          </xdr:cNvSpPr>
        </xdr:nvSpPr>
        <xdr:spPr>
          <a:xfrm>
            <a:off x="921" y="244"/>
            <a:ext cx="70" cy="7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98"/>
          <xdr:cNvSpPr>
            <a:spLocks/>
          </xdr:cNvSpPr>
        </xdr:nvSpPr>
        <xdr:spPr>
          <a:xfrm>
            <a:off x="914" y="361"/>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99"/>
          <xdr:cNvSpPr>
            <a:spLocks/>
          </xdr:cNvSpPr>
        </xdr:nvSpPr>
        <xdr:spPr>
          <a:xfrm>
            <a:off x="957" y="24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00"/>
          <xdr:cNvSpPr>
            <a:spLocks/>
          </xdr:cNvSpPr>
        </xdr:nvSpPr>
        <xdr:spPr>
          <a:xfrm>
            <a:off x="957" y="31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01"/>
          <xdr:cNvSpPr>
            <a:spLocks/>
          </xdr:cNvSpPr>
        </xdr:nvSpPr>
        <xdr:spPr>
          <a:xfrm>
            <a:off x="1026" y="23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66</xdr:row>
      <xdr:rowOff>0</xdr:rowOff>
    </xdr:from>
    <xdr:to>
      <xdr:col>7</xdr:col>
      <xdr:colOff>85725</xdr:colOff>
      <xdr:row>66</xdr:row>
      <xdr:rowOff>0</xdr:rowOff>
    </xdr:to>
    <xdr:sp>
      <xdr:nvSpPr>
        <xdr:cNvPr id="39" name="Line 248"/>
        <xdr:cNvSpPr>
          <a:spLocks/>
        </xdr:cNvSpPr>
      </xdr:nvSpPr>
      <xdr:spPr>
        <a:xfrm>
          <a:off x="3333750" y="1592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66</xdr:row>
      <xdr:rowOff>0</xdr:rowOff>
    </xdr:from>
    <xdr:to>
      <xdr:col>6</xdr:col>
      <xdr:colOff>123825</xdr:colOff>
      <xdr:row>66</xdr:row>
      <xdr:rowOff>0</xdr:rowOff>
    </xdr:to>
    <xdr:sp>
      <xdr:nvSpPr>
        <xdr:cNvPr id="40" name="Line 267"/>
        <xdr:cNvSpPr>
          <a:spLocks/>
        </xdr:cNvSpPr>
      </xdr:nvSpPr>
      <xdr:spPr>
        <a:xfrm flipV="1">
          <a:off x="2905125" y="1592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xdr:row>
      <xdr:rowOff>200025</xdr:rowOff>
    </xdr:from>
    <xdr:to>
      <xdr:col>11</xdr:col>
      <xdr:colOff>323850</xdr:colOff>
      <xdr:row>17</xdr:row>
      <xdr:rowOff>190500</xdr:rowOff>
    </xdr:to>
    <xdr:grpSp>
      <xdr:nvGrpSpPr>
        <xdr:cNvPr id="41" name="Group 492"/>
        <xdr:cNvGrpSpPr>
          <a:grpSpLocks/>
        </xdr:cNvGrpSpPr>
      </xdr:nvGrpSpPr>
      <xdr:grpSpPr>
        <a:xfrm>
          <a:off x="1485900" y="1495425"/>
          <a:ext cx="3952875" cy="2847975"/>
          <a:chOff x="156" y="157"/>
          <a:chExt cx="415" cy="299"/>
        </a:xfrm>
        <a:solidFill>
          <a:srgbClr val="FFFFFF"/>
        </a:solidFill>
      </xdr:grpSpPr>
      <xdr:grpSp>
        <xdr:nvGrpSpPr>
          <xdr:cNvPr id="42" name="Group 138"/>
          <xdr:cNvGrpSpPr>
            <a:grpSpLocks/>
          </xdr:cNvGrpSpPr>
        </xdr:nvGrpSpPr>
        <xdr:grpSpPr>
          <a:xfrm>
            <a:off x="156" y="157"/>
            <a:ext cx="415" cy="299"/>
            <a:chOff x="1101" y="146"/>
            <a:chExt cx="415" cy="299"/>
          </a:xfrm>
          <a:solidFill>
            <a:srgbClr val="FFFFFF"/>
          </a:solidFill>
        </xdr:grpSpPr>
        <xdr:sp>
          <xdr:nvSpPr>
            <xdr:cNvPr id="43" name="Rectangle 40"/>
            <xdr:cNvSpPr>
              <a:spLocks/>
            </xdr:cNvSpPr>
          </xdr:nvSpPr>
          <xdr:spPr>
            <a:xfrm>
              <a:off x="1101" y="332"/>
              <a:ext cx="415"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7"/>
            <xdr:cNvSpPr>
              <a:spLocks/>
            </xdr:cNvSpPr>
          </xdr:nvSpPr>
          <xdr:spPr>
            <a:xfrm flipV="1">
              <a:off x="1133" y="238"/>
              <a:ext cx="95" cy="164"/>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8"/>
            <xdr:cNvSpPr>
              <a:spLocks/>
            </xdr:cNvSpPr>
          </xdr:nvSpPr>
          <xdr:spPr>
            <a:xfrm flipV="1">
              <a:off x="1156" y="238"/>
              <a:ext cx="9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9"/>
            <xdr:cNvSpPr>
              <a:spLocks/>
            </xdr:cNvSpPr>
          </xdr:nvSpPr>
          <xdr:spPr>
            <a:xfrm flipV="1">
              <a:off x="1226" y="238"/>
              <a:ext cx="97" cy="162"/>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50"/>
            <xdr:cNvSpPr>
              <a:spLocks/>
            </xdr:cNvSpPr>
          </xdr:nvSpPr>
          <xdr:spPr>
            <a:xfrm>
              <a:off x="1344" y="238"/>
              <a:ext cx="8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51"/>
            <xdr:cNvSpPr>
              <a:spLocks/>
            </xdr:cNvSpPr>
          </xdr:nvSpPr>
          <xdr:spPr>
            <a:xfrm>
              <a:off x="1312" y="238"/>
              <a:ext cx="84" cy="159"/>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52"/>
            <xdr:cNvSpPr>
              <a:spLocks/>
            </xdr:cNvSpPr>
          </xdr:nvSpPr>
          <xdr:spPr>
            <a:xfrm>
              <a:off x="1250" y="238"/>
              <a:ext cx="83"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53"/>
            <xdr:cNvSpPr>
              <a:spLocks/>
            </xdr:cNvSpPr>
          </xdr:nvSpPr>
          <xdr:spPr>
            <a:xfrm>
              <a:off x="1173"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54"/>
            <xdr:cNvSpPr>
              <a:spLocks/>
            </xdr:cNvSpPr>
          </xdr:nvSpPr>
          <xdr:spPr>
            <a:xfrm>
              <a:off x="1395"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5"/>
            <xdr:cNvSpPr>
              <a:spLocks/>
            </xdr:cNvSpPr>
          </xdr:nvSpPr>
          <xdr:spPr>
            <a:xfrm>
              <a:off x="1175" y="429"/>
              <a:ext cx="21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37"/>
            <xdr:cNvSpPr>
              <a:spLocks/>
            </xdr:cNvSpPr>
          </xdr:nvSpPr>
          <xdr:spPr>
            <a:xfrm>
              <a:off x="1256" y="147"/>
              <a:ext cx="58" cy="9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Rectangle 38"/>
            <xdr:cNvSpPr>
              <a:spLocks/>
            </xdr:cNvSpPr>
          </xdr:nvSpPr>
          <xdr:spPr>
            <a:xfrm>
              <a:off x="1226"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Rectangle 39"/>
            <xdr:cNvSpPr>
              <a:spLocks/>
            </xdr:cNvSpPr>
          </xdr:nvSpPr>
          <xdr:spPr>
            <a:xfrm>
              <a:off x="1319"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1228" y="192"/>
              <a:ext cx="1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70"/>
            <xdr:cNvSpPr>
              <a:spLocks/>
            </xdr:cNvSpPr>
          </xdr:nvSpPr>
          <xdr:spPr>
            <a:xfrm>
              <a:off x="1102" y="33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71"/>
            <xdr:cNvSpPr>
              <a:spLocks/>
            </xdr:cNvSpPr>
          </xdr:nvSpPr>
          <xdr:spPr>
            <a:xfrm>
              <a:off x="1102" y="339"/>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72"/>
            <xdr:cNvSpPr>
              <a:spLocks/>
            </xdr:cNvSpPr>
          </xdr:nvSpPr>
          <xdr:spPr>
            <a:xfrm>
              <a:off x="1102" y="34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73"/>
            <xdr:cNvSpPr>
              <a:spLocks/>
            </xdr:cNvSpPr>
          </xdr:nvSpPr>
          <xdr:spPr>
            <a:xfrm>
              <a:off x="1102" y="35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74"/>
            <xdr:cNvSpPr>
              <a:spLocks/>
            </xdr:cNvSpPr>
          </xdr:nvSpPr>
          <xdr:spPr>
            <a:xfrm>
              <a:off x="1102" y="35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75"/>
            <xdr:cNvSpPr>
              <a:spLocks/>
            </xdr:cNvSpPr>
          </xdr:nvSpPr>
          <xdr:spPr>
            <a:xfrm>
              <a:off x="1102" y="36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77"/>
            <xdr:cNvSpPr>
              <a:spLocks/>
            </xdr:cNvSpPr>
          </xdr:nvSpPr>
          <xdr:spPr>
            <a:xfrm>
              <a:off x="1102" y="37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78"/>
            <xdr:cNvSpPr>
              <a:spLocks/>
            </xdr:cNvSpPr>
          </xdr:nvSpPr>
          <xdr:spPr>
            <a:xfrm>
              <a:off x="1102" y="37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79"/>
            <xdr:cNvSpPr>
              <a:spLocks/>
            </xdr:cNvSpPr>
          </xdr:nvSpPr>
          <xdr:spPr>
            <a:xfrm>
              <a:off x="1102" y="38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0"/>
            <xdr:cNvSpPr>
              <a:spLocks/>
            </xdr:cNvSpPr>
          </xdr:nvSpPr>
          <xdr:spPr>
            <a:xfrm>
              <a:off x="1102" y="38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81"/>
            <xdr:cNvSpPr>
              <a:spLocks/>
            </xdr:cNvSpPr>
          </xdr:nvSpPr>
          <xdr:spPr>
            <a:xfrm>
              <a:off x="1102" y="39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8" name="Line 490"/>
          <xdr:cNvSpPr>
            <a:spLocks/>
          </xdr:cNvSpPr>
        </xdr:nvSpPr>
        <xdr:spPr>
          <a:xfrm>
            <a:off x="156" y="376"/>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491"/>
          <xdr:cNvSpPr>
            <a:spLocks/>
          </xdr:cNvSpPr>
        </xdr:nvSpPr>
        <xdr:spPr>
          <a:xfrm>
            <a:off x="156" y="406"/>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38</xdr:row>
      <xdr:rowOff>9525</xdr:rowOff>
    </xdr:from>
    <xdr:to>
      <xdr:col>11</xdr:col>
      <xdr:colOff>333375</xdr:colOff>
      <xdr:row>50</xdr:row>
      <xdr:rowOff>0</xdr:rowOff>
    </xdr:to>
    <xdr:grpSp>
      <xdr:nvGrpSpPr>
        <xdr:cNvPr id="70" name="Group 495"/>
        <xdr:cNvGrpSpPr>
          <a:grpSpLocks/>
        </xdr:cNvGrpSpPr>
      </xdr:nvGrpSpPr>
      <xdr:grpSpPr>
        <a:xfrm>
          <a:off x="1485900" y="9267825"/>
          <a:ext cx="3962400" cy="2847975"/>
          <a:chOff x="156" y="973"/>
          <a:chExt cx="416" cy="299"/>
        </a:xfrm>
        <a:solidFill>
          <a:srgbClr val="FFFFFF"/>
        </a:solidFill>
      </xdr:grpSpPr>
      <xdr:grpSp>
        <xdr:nvGrpSpPr>
          <xdr:cNvPr id="71" name="Group 202"/>
          <xdr:cNvGrpSpPr>
            <a:grpSpLocks/>
          </xdr:cNvGrpSpPr>
        </xdr:nvGrpSpPr>
        <xdr:grpSpPr>
          <a:xfrm>
            <a:off x="156" y="973"/>
            <a:ext cx="415" cy="299"/>
            <a:chOff x="1101" y="146"/>
            <a:chExt cx="415" cy="299"/>
          </a:xfrm>
          <a:solidFill>
            <a:srgbClr val="FFFFFF"/>
          </a:solidFill>
        </xdr:grpSpPr>
        <xdr:sp>
          <xdr:nvSpPr>
            <xdr:cNvPr id="72" name="Rectangle 203"/>
            <xdr:cNvSpPr>
              <a:spLocks/>
            </xdr:cNvSpPr>
          </xdr:nvSpPr>
          <xdr:spPr>
            <a:xfrm>
              <a:off x="1101" y="332"/>
              <a:ext cx="415"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04"/>
            <xdr:cNvSpPr>
              <a:spLocks/>
            </xdr:cNvSpPr>
          </xdr:nvSpPr>
          <xdr:spPr>
            <a:xfrm flipV="1">
              <a:off x="1133" y="238"/>
              <a:ext cx="95" cy="164"/>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205"/>
            <xdr:cNvSpPr>
              <a:spLocks/>
            </xdr:cNvSpPr>
          </xdr:nvSpPr>
          <xdr:spPr>
            <a:xfrm flipV="1">
              <a:off x="1156" y="238"/>
              <a:ext cx="9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206"/>
            <xdr:cNvSpPr>
              <a:spLocks/>
            </xdr:cNvSpPr>
          </xdr:nvSpPr>
          <xdr:spPr>
            <a:xfrm flipV="1">
              <a:off x="1226" y="238"/>
              <a:ext cx="97" cy="162"/>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207"/>
            <xdr:cNvSpPr>
              <a:spLocks/>
            </xdr:cNvSpPr>
          </xdr:nvSpPr>
          <xdr:spPr>
            <a:xfrm>
              <a:off x="1344" y="238"/>
              <a:ext cx="8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208"/>
            <xdr:cNvSpPr>
              <a:spLocks/>
            </xdr:cNvSpPr>
          </xdr:nvSpPr>
          <xdr:spPr>
            <a:xfrm>
              <a:off x="1312" y="238"/>
              <a:ext cx="84" cy="159"/>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09"/>
            <xdr:cNvSpPr>
              <a:spLocks/>
            </xdr:cNvSpPr>
          </xdr:nvSpPr>
          <xdr:spPr>
            <a:xfrm>
              <a:off x="1250" y="238"/>
              <a:ext cx="83"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210"/>
            <xdr:cNvSpPr>
              <a:spLocks/>
            </xdr:cNvSpPr>
          </xdr:nvSpPr>
          <xdr:spPr>
            <a:xfrm>
              <a:off x="1173"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211"/>
            <xdr:cNvSpPr>
              <a:spLocks/>
            </xdr:cNvSpPr>
          </xdr:nvSpPr>
          <xdr:spPr>
            <a:xfrm>
              <a:off x="1395"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212"/>
            <xdr:cNvSpPr>
              <a:spLocks/>
            </xdr:cNvSpPr>
          </xdr:nvSpPr>
          <xdr:spPr>
            <a:xfrm>
              <a:off x="1175" y="429"/>
              <a:ext cx="21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Rectangle 213"/>
            <xdr:cNvSpPr>
              <a:spLocks/>
            </xdr:cNvSpPr>
          </xdr:nvSpPr>
          <xdr:spPr>
            <a:xfrm>
              <a:off x="1256" y="147"/>
              <a:ext cx="58" cy="9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Rectangle 214"/>
            <xdr:cNvSpPr>
              <a:spLocks/>
            </xdr:cNvSpPr>
          </xdr:nvSpPr>
          <xdr:spPr>
            <a:xfrm>
              <a:off x="1226"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Rectangle 215"/>
            <xdr:cNvSpPr>
              <a:spLocks/>
            </xdr:cNvSpPr>
          </xdr:nvSpPr>
          <xdr:spPr>
            <a:xfrm>
              <a:off x="1319"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216"/>
            <xdr:cNvSpPr>
              <a:spLocks/>
            </xdr:cNvSpPr>
          </xdr:nvSpPr>
          <xdr:spPr>
            <a:xfrm>
              <a:off x="1228" y="192"/>
              <a:ext cx="1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217"/>
            <xdr:cNvSpPr>
              <a:spLocks/>
            </xdr:cNvSpPr>
          </xdr:nvSpPr>
          <xdr:spPr>
            <a:xfrm>
              <a:off x="1102" y="33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218"/>
            <xdr:cNvSpPr>
              <a:spLocks/>
            </xdr:cNvSpPr>
          </xdr:nvSpPr>
          <xdr:spPr>
            <a:xfrm>
              <a:off x="1102" y="339"/>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219"/>
            <xdr:cNvSpPr>
              <a:spLocks/>
            </xdr:cNvSpPr>
          </xdr:nvSpPr>
          <xdr:spPr>
            <a:xfrm>
              <a:off x="1102" y="34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220"/>
            <xdr:cNvSpPr>
              <a:spLocks/>
            </xdr:cNvSpPr>
          </xdr:nvSpPr>
          <xdr:spPr>
            <a:xfrm>
              <a:off x="1102" y="35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221"/>
            <xdr:cNvSpPr>
              <a:spLocks/>
            </xdr:cNvSpPr>
          </xdr:nvSpPr>
          <xdr:spPr>
            <a:xfrm>
              <a:off x="1102" y="35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222"/>
            <xdr:cNvSpPr>
              <a:spLocks/>
            </xdr:cNvSpPr>
          </xdr:nvSpPr>
          <xdr:spPr>
            <a:xfrm>
              <a:off x="1102" y="36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223"/>
            <xdr:cNvSpPr>
              <a:spLocks/>
            </xdr:cNvSpPr>
          </xdr:nvSpPr>
          <xdr:spPr>
            <a:xfrm>
              <a:off x="1102" y="37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224"/>
            <xdr:cNvSpPr>
              <a:spLocks/>
            </xdr:cNvSpPr>
          </xdr:nvSpPr>
          <xdr:spPr>
            <a:xfrm>
              <a:off x="1102" y="37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225"/>
            <xdr:cNvSpPr>
              <a:spLocks/>
            </xdr:cNvSpPr>
          </xdr:nvSpPr>
          <xdr:spPr>
            <a:xfrm>
              <a:off x="1102" y="38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226"/>
            <xdr:cNvSpPr>
              <a:spLocks/>
            </xdr:cNvSpPr>
          </xdr:nvSpPr>
          <xdr:spPr>
            <a:xfrm>
              <a:off x="1102" y="38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227"/>
            <xdr:cNvSpPr>
              <a:spLocks/>
            </xdr:cNvSpPr>
          </xdr:nvSpPr>
          <xdr:spPr>
            <a:xfrm>
              <a:off x="1102" y="39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7" name="Line 493"/>
          <xdr:cNvSpPr>
            <a:spLocks/>
          </xdr:cNvSpPr>
        </xdr:nvSpPr>
        <xdr:spPr>
          <a:xfrm>
            <a:off x="157" y="1192"/>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494"/>
          <xdr:cNvSpPr>
            <a:spLocks/>
          </xdr:cNvSpPr>
        </xdr:nvSpPr>
        <xdr:spPr>
          <a:xfrm>
            <a:off x="157" y="1222"/>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419100</xdr:colOff>
      <xdr:row>66</xdr:row>
      <xdr:rowOff>0</xdr:rowOff>
    </xdr:from>
    <xdr:to>
      <xdr:col>10</xdr:col>
      <xdr:colOff>428625</xdr:colOff>
      <xdr:row>66</xdr:row>
      <xdr:rowOff>0</xdr:rowOff>
    </xdr:to>
    <xdr:sp>
      <xdr:nvSpPr>
        <xdr:cNvPr id="99" name="Rectangle 502" descr="れんが (斜め)"/>
        <xdr:cNvSpPr>
          <a:spLocks/>
        </xdr:cNvSpPr>
      </xdr:nvSpPr>
      <xdr:spPr>
        <a:xfrm>
          <a:off x="4600575" y="15925800"/>
          <a:ext cx="476250" cy="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66</xdr:row>
      <xdr:rowOff>0</xdr:rowOff>
    </xdr:from>
    <xdr:to>
      <xdr:col>10</xdr:col>
      <xdr:colOff>428625</xdr:colOff>
      <xdr:row>66</xdr:row>
      <xdr:rowOff>0</xdr:rowOff>
    </xdr:to>
    <xdr:sp>
      <xdr:nvSpPr>
        <xdr:cNvPr id="100" name="Rectangle 503" descr="れんが (斜め)"/>
        <xdr:cNvSpPr>
          <a:spLocks/>
        </xdr:cNvSpPr>
      </xdr:nvSpPr>
      <xdr:spPr>
        <a:xfrm>
          <a:off x="4600575" y="15925800"/>
          <a:ext cx="476250" cy="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66</xdr:row>
      <xdr:rowOff>0</xdr:rowOff>
    </xdr:from>
    <xdr:to>
      <xdr:col>10</xdr:col>
      <xdr:colOff>428625</xdr:colOff>
      <xdr:row>66</xdr:row>
      <xdr:rowOff>0</xdr:rowOff>
    </xdr:to>
    <xdr:sp>
      <xdr:nvSpPr>
        <xdr:cNvPr id="101" name="Rectangle 508" descr="れんが (斜め)"/>
        <xdr:cNvSpPr>
          <a:spLocks/>
        </xdr:cNvSpPr>
      </xdr:nvSpPr>
      <xdr:spPr>
        <a:xfrm>
          <a:off x="4600575" y="15925800"/>
          <a:ext cx="476250" cy="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0</xdr:row>
      <xdr:rowOff>0</xdr:rowOff>
    </xdr:from>
    <xdr:to>
      <xdr:col>21</xdr:col>
      <xdr:colOff>76200</xdr:colOff>
      <xdr:row>0</xdr:row>
      <xdr:rowOff>0</xdr:rowOff>
    </xdr:to>
    <xdr:grpSp>
      <xdr:nvGrpSpPr>
        <xdr:cNvPr id="1" name="Group 182"/>
        <xdr:cNvGrpSpPr>
          <a:grpSpLocks/>
        </xdr:cNvGrpSpPr>
      </xdr:nvGrpSpPr>
      <xdr:grpSpPr>
        <a:xfrm>
          <a:off x="7286625" y="0"/>
          <a:ext cx="2571750" cy="0"/>
          <a:chOff x="765" y="237"/>
          <a:chExt cx="270" cy="140"/>
        </a:xfrm>
        <a:solidFill>
          <a:srgbClr val="FFFFFF"/>
        </a:solidFill>
      </xdr:grpSpPr>
      <xdr:sp>
        <xdr:nvSpPr>
          <xdr:cNvPr id="2" name="Rectangle 14"/>
          <xdr:cNvSpPr>
            <a:spLocks/>
          </xdr:cNvSpPr>
        </xdr:nvSpPr>
        <xdr:spPr>
          <a:xfrm>
            <a:off x="772" y="242"/>
            <a:ext cx="69"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8"/>
          <xdr:cNvSpPr>
            <a:spLocks/>
          </xdr:cNvSpPr>
        </xdr:nvSpPr>
        <xdr:spPr>
          <a:xfrm>
            <a:off x="920" y="279"/>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9"/>
          <xdr:cNvSpPr>
            <a:spLocks/>
          </xdr:cNvSpPr>
        </xdr:nvSpPr>
        <xdr:spPr>
          <a:xfrm>
            <a:off x="989" y="279"/>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xdr:cNvSpPr>
        </xdr:nvSpPr>
        <xdr:spPr>
          <a:xfrm>
            <a:off x="772"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6"/>
          <xdr:cNvSpPr>
            <a:spLocks/>
          </xdr:cNvSpPr>
        </xdr:nvSpPr>
        <xdr:spPr>
          <a:xfrm>
            <a:off x="841"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7"/>
          <xdr:cNvSpPr>
            <a:spLocks/>
          </xdr:cNvSpPr>
        </xdr:nvSpPr>
        <xdr:spPr>
          <a:xfrm>
            <a:off x="765" y="363"/>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18"/>
          <xdr:cNvSpPr>
            <a:spLocks/>
          </xdr:cNvSpPr>
        </xdr:nvSpPr>
        <xdr:spPr>
          <a:xfrm>
            <a:off x="773"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9"/>
          <xdr:cNvSpPr>
            <a:spLocks/>
          </xdr:cNvSpPr>
        </xdr:nvSpPr>
        <xdr:spPr>
          <a:xfrm>
            <a:off x="820"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21"/>
          <xdr:cNvSpPr>
            <a:spLocks/>
          </xdr:cNvSpPr>
        </xdr:nvSpPr>
        <xdr:spPr>
          <a:xfrm>
            <a:off x="773"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22"/>
          <xdr:cNvSpPr>
            <a:spLocks/>
          </xdr:cNvSpPr>
        </xdr:nvSpPr>
        <xdr:spPr>
          <a:xfrm>
            <a:off x="820"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3"/>
          <xdr:cNvSpPr>
            <a:spLocks/>
          </xdr:cNvSpPr>
        </xdr:nvSpPr>
        <xdr:spPr>
          <a:xfrm>
            <a:off x="841" y="2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4"/>
          <xdr:cNvSpPr>
            <a:spLocks/>
          </xdr:cNvSpPr>
        </xdr:nvSpPr>
        <xdr:spPr>
          <a:xfrm>
            <a:off x="841" y="311"/>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a:off x="885" y="237"/>
            <a:ext cx="0" cy="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27"/>
          <xdr:cNvSpPr>
            <a:spLocks/>
          </xdr:cNvSpPr>
        </xdr:nvSpPr>
        <xdr:spPr>
          <a:xfrm>
            <a:off x="921" y="244"/>
            <a:ext cx="70" cy="7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30"/>
          <xdr:cNvSpPr>
            <a:spLocks/>
          </xdr:cNvSpPr>
        </xdr:nvSpPr>
        <xdr:spPr>
          <a:xfrm>
            <a:off x="914" y="361"/>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1"/>
          <xdr:cNvSpPr>
            <a:spLocks/>
          </xdr:cNvSpPr>
        </xdr:nvSpPr>
        <xdr:spPr>
          <a:xfrm>
            <a:off x="957" y="24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2"/>
          <xdr:cNvSpPr>
            <a:spLocks/>
          </xdr:cNvSpPr>
        </xdr:nvSpPr>
        <xdr:spPr>
          <a:xfrm>
            <a:off x="957" y="31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3"/>
          <xdr:cNvSpPr>
            <a:spLocks/>
          </xdr:cNvSpPr>
        </xdr:nvSpPr>
        <xdr:spPr>
          <a:xfrm>
            <a:off x="1026" y="23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304800</xdr:colOff>
      <xdr:row>0</xdr:row>
      <xdr:rowOff>0</xdr:rowOff>
    </xdr:from>
    <xdr:to>
      <xdr:col>21</xdr:col>
      <xdr:colOff>76200</xdr:colOff>
      <xdr:row>0</xdr:row>
      <xdr:rowOff>0</xdr:rowOff>
    </xdr:to>
    <xdr:grpSp>
      <xdr:nvGrpSpPr>
        <xdr:cNvPr id="20" name="Group 183"/>
        <xdr:cNvGrpSpPr>
          <a:grpSpLocks/>
        </xdr:cNvGrpSpPr>
      </xdr:nvGrpSpPr>
      <xdr:grpSpPr>
        <a:xfrm>
          <a:off x="7286625" y="0"/>
          <a:ext cx="2571750" cy="0"/>
          <a:chOff x="765" y="237"/>
          <a:chExt cx="270" cy="140"/>
        </a:xfrm>
        <a:solidFill>
          <a:srgbClr val="FFFFFF"/>
        </a:solidFill>
      </xdr:grpSpPr>
      <xdr:sp>
        <xdr:nvSpPr>
          <xdr:cNvPr id="21" name="Rectangle 184"/>
          <xdr:cNvSpPr>
            <a:spLocks/>
          </xdr:cNvSpPr>
        </xdr:nvSpPr>
        <xdr:spPr>
          <a:xfrm>
            <a:off x="772" y="242"/>
            <a:ext cx="69"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85"/>
          <xdr:cNvSpPr>
            <a:spLocks/>
          </xdr:cNvSpPr>
        </xdr:nvSpPr>
        <xdr:spPr>
          <a:xfrm>
            <a:off x="920" y="279"/>
            <a:ext cx="0" cy="9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86"/>
          <xdr:cNvSpPr>
            <a:spLocks/>
          </xdr:cNvSpPr>
        </xdr:nvSpPr>
        <xdr:spPr>
          <a:xfrm>
            <a:off x="989" y="279"/>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87"/>
          <xdr:cNvSpPr>
            <a:spLocks/>
          </xdr:cNvSpPr>
        </xdr:nvSpPr>
        <xdr:spPr>
          <a:xfrm>
            <a:off x="772"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88"/>
          <xdr:cNvSpPr>
            <a:spLocks/>
          </xdr:cNvSpPr>
        </xdr:nvSpPr>
        <xdr:spPr>
          <a:xfrm>
            <a:off x="841" y="312"/>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89"/>
          <xdr:cNvSpPr>
            <a:spLocks/>
          </xdr:cNvSpPr>
        </xdr:nvSpPr>
        <xdr:spPr>
          <a:xfrm>
            <a:off x="765" y="363"/>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190"/>
          <xdr:cNvSpPr>
            <a:spLocks/>
          </xdr:cNvSpPr>
        </xdr:nvSpPr>
        <xdr:spPr>
          <a:xfrm>
            <a:off x="773"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Oval 191"/>
          <xdr:cNvSpPr>
            <a:spLocks/>
          </xdr:cNvSpPr>
        </xdr:nvSpPr>
        <xdr:spPr>
          <a:xfrm>
            <a:off x="820" y="245"/>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192"/>
          <xdr:cNvSpPr>
            <a:spLocks/>
          </xdr:cNvSpPr>
        </xdr:nvSpPr>
        <xdr:spPr>
          <a:xfrm>
            <a:off x="773"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193"/>
          <xdr:cNvSpPr>
            <a:spLocks/>
          </xdr:cNvSpPr>
        </xdr:nvSpPr>
        <xdr:spPr>
          <a:xfrm>
            <a:off x="820" y="289"/>
            <a:ext cx="20" cy="2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94"/>
          <xdr:cNvSpPr>
            <a:spLocks/>
          </xdr:cNvSpPr>
        </xdr:nvSpPr>
        <xdr:spPr>
          <a:xfrm>
            <a:off x="841" y="2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95"/>
          <xdr:cNvSpPr>
            <a:spLocks/>
          </xdr:cNvSpPr>
        </xdr:nvSpPr>
        <xdr:spPr>
          <a:xfrm>
            <a:off x="841" y="311"/>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96"/>
          <xdr:cNvSpPr>
            <a:spLocks/>
          </xdr:cNvSpPr>
        </xdr:nvSpPr>
        <xdr:spPr>
          <a:xfrm>
            <a:off x="885" y="237"/>
            <a:ext cx="0" cy="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197"/>
          <xdr:cNvSpPr>
            <a:spLocks/>
          </xdr:cNvSpPr>
        </xdr:nvSpPr>
        <xdr:spPr>
          <a:xfrm>
            <a:off x="921" y="244"/>
            <a:ext cx="70" cy="7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98"/>
          <xdr:cNvSpPr>
            <a:spLocks/>
          </xdr:cNvSpPr>
        </xdr:nvSpPr>
        <xdr:spPr>
          <a:xfrm>
            <a:off x="914" y="361"/>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99"/>
          <xdr:cNvSpPr>
            <a:spLocks/>
          </xdr:cNvSpPr>
        </xdr:nvSpPr>
        <xdr:spPr>
          <a:xfrm>
            <a:off x="957" y="24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00"/>
          <xdr:cNvSpPr>
            <a:spLocks/>
          </xdr:cNvSpPr>
        </xdr:nvSpPr>
        <xdr:spPr>
          <a:xfrm>
            <a:off x="957" y="314"/>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01"/>
          <xdr:cNvSpPr>
            <a:spLocks/>
          </xdr:cNvSpPr>
        </xdr:nvSpPr>
        <xdr:spPr>
          <a:xfrm>
            <a:off x="1026" y="23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447675</xdr:colOff>
      <xdr:row>23</xdr:row>
      <xdr:rowOff>38100</xdr:rowOff>
    </xdr:from>
    <xdr:to>
      <xdr:col>15</xdr:col>
      <xdr:colOff>19050</xdr:colOff>
      <xdr:row>23</xdr:row>
      <xdr:rowOff>38100</xdr:rowOff>
    </xdr:to>
    <xdr:sp>
      <xdr:nvSpPr>
        <xdr:cNvPr id="39" name="Line 228"/>
        <xdr:cNvSpPr>
          <a:spLocks/>
        </xdr:cNvSpPr>
      </xdr:nvSpPr>
      <xdr:spPr>
        <a:xfrm>
          <a:off x="1828800" y="4781550"/>
          <a:ext cx="51720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22</xdr:row>
      <xdr:rowOff>104775</xdr:rowOff>
    </xdr:from>
    <xdr:to>
      <xdr:col>7</xdr:col>
      <xdr:colOff>85725</xdr:colOff>
      <xdr:row>24</xdr:row>
      <xdr:rowOff>114300</xdr:rowOff>
    </xdr:to>
    <xdr:sp>
      <xdr:nvSpPr>
        <xdr:cNvPr id="40" name="Line 248"/>
        <xdr:cNvSpPr>
          <a:spLocks/>
        </xdr:cNvSpPr>
      </xdr:nvSpPr>
      <xdr:spPr>
        <a:xfrm>
          <a:off x="3333750" y="464820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37</xdr:row>
      <xdr:rowOff>66675</xdr:rowOff>
    </xdr:from>
    <xdr:to>
      <xdr:col>6</xdr:col>
      <xdr:colOff>123825</xdr:colOff>
      <xdr:row>38</xdr:row>
      <xdr:rowOff>0</xdr:rowOff>
    </xdr:to>
    <xdr:sp>
      <xdr:nvSpPr>
        <xdr:cNvPr id="41" name="Line 267"/>
        <xdr:cNvSpPr>
          <a:spLocks/>
        </xdr:cNvSpPr>
      </xdr:nvSpPr>
      <xdr:spPr>
        <a:xfrm flipV="1">
          <a:off x="2905125" y="76104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21</xdr:row>
      <xdr:rowOff>95250</xdr:rowOff>
    </xdr:from>
    <xdr:to>
      <xdr:col>16</xdr:col>
      <xdr:colOff>85725</xdr:colOff>
      <xdr:row>42</xdr:row>
      <xdr:rowOff>38100</xdr:rowOff>
    </xdr:to>
    <xdr:grpSp>
      <xdr:nvGrpSpPr>
        <xdr:cNvPr id="42" name="Group 287"/>
        <xdr:cNvGrpSpPr>
          <a:grpSpLocks/>
        </xdr:cNvGrpSpPr>
      </xdr:nvGrpSpPr>
      <xdr:grpSpPr>
        <a:xfrm>
          <a:off x="1543050" y="4438650"/>
          <a:ext cx="5991225" cy="4143375"/>
          <a:chOff x="162" y="2113"/>
          <a:chExt cx="629" cy="435"/>
        </a:xfrm>
        <a:solidFill>
          <a:srgbClr val="FFFFFF"/>
        </a:solidFill>
      </xdr:grpSpPr>
      <xdr:sp>
        <xdr:nvSpPr>
          <xdr:cNvPr id="43" name="Line 271"/>
          <xdr:cNvSpPr>
            <a:spLocks/>
          </xdr:cNvSpPr>
        </xdr:nvSpPr>
        <xdr:spPr>
          <a:xfrm>
            <a:off x="399"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4" name="Group 286"/>
          <xdr:cNvGrpSpPr>
            <a:grpSpLocks/>
          </xdr:cNvGrpSpPr>
        </xdr:nvGrpSpPr>
        <xdr:grpSpPr>
          <a:xfrm>
            <a:off x="162" y="2113"/>
            <a:ext cx="629" cy="435"/>
            <a:chOff x="162" y="2113"/>
            <a:chExt cx="629" cy="435"/>
          </a:xfrm>
          <a:solidFill>
            <a:srgbClr val="FFFFFF"/>
          </a:solidFill>
        </xdr:grpSpPr>
        <xdr:grpSp>
          <xdr:nvGrpSpPr>
            <xdr:cNvPr id="45" name="Group 284"/>
            <xdr:cNvGrpSpPr>
              <a:grpSpLocks/>
            </xdr:cNvGrpSpPr>
          </xdr:nvGrpSpPr>
          <xdr:grpSpPr>
            <a:xfrm>
              <a:off x="162" y="2113"/>
              <a:ext cx="629" cy="435"/>
              <a:chOff x="162" y="2113"/>
              <a:chExt cx="629" cy="435"/>
            </a:xfrm>
            <a:solidFill>
              <a:srgbClr val="FFFFFF"/>
            </a:solidFill>
          </xdr:grpSpPr>
          <xdr:sp>
            <xdr:nvSpPr>
              <xdr:cNvPr id="46" name="Line 249"/>
              <xdr:cNvSpPr>
                <a:spLocks/>
              </xdr:cNvSpPr>
            </xdr:nvSpPr>
            <xdr:spPr>
              <a:xfrm>
                <a:off x="350" y="2364"/>
                <a:ext cx="0" cy="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7" name="Group 283"/>
              <xdr:cNvGrpSpPr>
                <a:grpSpLocks/>
              </xdr:cNvGrpSpPr>
            </xdr:nvGrpSpPr>
            <xdr:grpSpPr>
              <a:xfrm>
                <a:off x="162" y="2113"/>
                <a:ext cx="629" cy="435"/>
                <a:chOff x="162" y="2113"/>
                <a:chExt cx="629" cy="435"/>
              </a:xfrm>
              <a:solidFill>
                <a:srgbClr val="FFFFFF"/>
              </a:solidFill>
            </xdr:grpSpPr>
            <xdr:grpSp>
              <xdr:nvGrpSpPr>
                <xdr:cNvPr id="48" name="Group 282"/>
                <xdr:cNvGrpSpPr>
                  <a:grpSpLocks/>
                </xdr:cNvGrpSpPr>
              </xdr:nvGrpSpPr>
              <xdr:grpSpPr>
                <a:xfrm>
                  <a:off x="162" y="2113"/>
                  <a:ext cx="629" cy="350"/>
                  <a:chOff x="162" y="2113"/>
                  <a:chExt cx="629" cy="350"/>
                </a:xfrm>
                <a:solidFill>
                  <a:srgbClr val="FFFFFF"/>
                </a:solidFill>
              </xdr:grpSpPr>
              <xdr:sp>
                <xdr:nvSpPr>
                  <xdr:cNvPr id="49" name="Line 242"/>
                  <xdr:cNvSpPr>
                    <a:spLocks/>
                  </xdr:cNvSpPr>
                </xdr:nvSpPr>
                <xdr:spPr>
                  <a:xfrm flipH="1">
                    <a:off x="212" y="240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243"/>
                  <xdr:cNvSpPr>
                    <a:spLocks/>
                  </xdr:cNvSpPr>
                </xdr:nvSpPr>
                <xdr:spPr>
                  <a:xfrm>
                    <a:off x="212" y="2401"/>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244"/>
                  <xdr:cNvSpPr>
                    <a:spLocks/>
                  </xdr:cNvSpPr>
                </xdr:nvSpPr>
                <xdr:spPr>
                  <a:xfrm flipV="1">
                    <a:off x="213" y="2401"/>
                    <a:ext cx="29"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2" name="Group 281"/>
                  <xdr:cNvGrpSpPr>
                    <a:grpSpLocks/>
                  </xdr:cNvGrpSpPr>
                </xdr:nvGrpSpPr>
                <xdr:grpSpPr>
                  <a:xfrm>
                    <a:off x="162" y="2113"/>
                    <a:ext cx="629" cy="350"/>
                    <a:chOff x="162" y="2113"/>
                    <a:chExt cx="629" cy="350"/>
                  </a:xfrm>
                  <a:solidFill>
                    <a:srgbClr val="FFFFFF"/>
                  </a:solidFill>
                </xdr:grpSpPr>
                <xdr:grpSp>
                  <xdr:nvGrpSpPr>
                    <xdr:cNvPr id="53" name="Group 280"/>
                    <xdr:cNvGrpSpPr>
                      <a:grpSpLocks/>
                    </xdr:cNvGrpSpPr>
                  </xdr:nvGrpSpPr>
                  <xdr:grpSpPr>
                    <a:xfrm>
                      <a:off x="162" y="2113"/>
                      <a:ext cx="575" cy="350"/>
                      <a:chOff x="162" y="2113"/>
                      <a:chExt cx="575" cy="350"/>
                    </a:xfrm>
                    <a:solidFill>
                      <a:srgbClr val="FFFFFF"/>
                    </a:solidFill>
                  </xdr:grpSpPr>
                  <xdr:sp>
                    <xdr:nvSpPr>
                      <xdr:cNvPr id="54" name="Line 230"/>
                      <xdr:cNvSpPr>
                        <a:spLocks/>
                      </xdr:cNvSpPr>
                    </xdr:nvSpPr>
                    <xdr:spPr>
                      <a:xfrm>
                        <a:off x="185" y="2148"/>
                        <a:ext cx="0" cy="31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45"/>
                      <xdr:cNvGrpSpPr>
                        <a:grpSpLocks/>
                      </xdr:cNvGrpSpPr>
                    </xdr:nvGrpSpPr>
                    <xdr:grpSpPr>
                      <a:xfrm>
                        <a:off x="162" y="2113"/>
                        <a:ext cx="575" cy="350"/>
                        <a:chOff x="162" y="2113"/>
                        <a:chExt cx="575" cy="350"/>
                      </a:xfrm>
                      <a:solidFill>
                        <a:srgbClr val="FFFFFF"/>
                      </a:solidFill>
                    </xdr:grpSpPr>
                    <xdr:sp>
                      <xdr:nvSpPr>
                        <xdr:cNvPr id="56" name="Line 229"/>
                        <xdr:cNvSpPr>
                          <a:spLocks/>
                        </xdr:cNvSpPr>
                      </xdr:nvSpPr>
                      <xdr:spPr>
                        <a:xfrm>
                          <a:off x="162" y="2460"/>
                          <a:ext cx="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Rectangle 231"/>
                        <xdr:cNvSpPr>
                          <a:spLocks/>
                        </xdr:cNvSpPr>
                      </xdr:nvSpPr>
                      <xdr:spPr>
                        <a:xfrm>
                          <a:off x="341" y="2113"/>
                          <a:ext cx="18" cy="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Rectangle 232"/>
                        <xdr:cNvSpPr>
                          <a:spLocks/>
                        </xdr:cNvSpPr>
                      </xdr:nvSpPr>
                      <xdr:spPr>
                        <a:xfrm>
                          <a:off x="320" y="2160"/>
                          <a:ext cx="62" cy="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Rectangle 233"/>
                        <xdr:cNvSpPr>
                          <a:spLocks/>
                        </xdr:cNvSpPr>
                      </xdr:nvSpPr>
                      <xdr:spPr>
                        <a:xfrm>
                          <a:off x="342" y="2185"/>
                          <a:ext cx="14" cy="19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34"/>
                        <xdr:cNvSpPr>
                          <a:spLocks/>
                        </xdr:cNvSpPr>
                      </xdr:nvSpPr>
                      <xdr:spPr>
                        <a:xfrm>
                          <a:off x="194" y="2376"/>
                          <a:ext cx="3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235"/>
                        <xdr:cNvSpPr>
                          <a:spLocks/>
                        </xdr:cNvSpPr>
                      </xdr:nvSpPr>
                      <xdr:spPr>
                        <a:xfrm>
                          <a:off x="194" y="2314"/>
                          <a:ext cx="4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236"/>
                        <xdr:cNvSpPr>
                          <a:spLocks/>
                        </xdr:cNvSpPr>
                      </xdr:nvSpPr>
                      <xdr:spPr>
                        <a:xfrm flipH="1">
                          <a:off x="267" y="2313"/>
                          <a:ext cx="75" cy="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237"/>
                        <xdr:cNvSpPr>
                          <a:spLocks/>
                        </xdr:cNvSpPr>
                      </xdr:nvSpPr>
                      <xdr:spPr>
                        <a:xfrm>
                          <a:off x="357" y="2314"/>
                          <a:ext cx="73" cy="14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238"/>
                        <xdr:cNvSpPr>
                          <a:spLocks/>
                        </xdr:cNvSpPr>
                      </xdr:nvSpPr>
                      <xdr:spPr>
                        <a:xfrm flipH="1">
                          <a:off x="305" y="2377"/>
                          <a:ext cx="37"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239"/>
                        <xdr:cNvSpPr>
                          <a:spLocks/>
                        </xdr:cNvSpPr>
                      </xdr:nvSpPr>
                      <xdr:spPr>
                        <a:xfrm>
                          <a:off x="356" y="2376"/>
                          <a:ext cx="41"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66" name="Line 251"/>
                    <xdr:cNvSpPr>
                      <a:spLocks/>
                    </xdr:cNvSpPr>
                  </xdr:nvSpPr>
                  <xdr:spPr>
                    <a:xfrm>
                      <a:off x="243" y="2315"/>
                      <a:ext cx="0" cy="6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252"/>
                    <xdr:cNvSpPr>
                      <a:spLocks/>
                    </xdr:cNvSpPr>
                  </xdr:nvSpPr>
                  <xdr:spPr>
                    <a:xfrm>
                      <a:off x="440" y="2151"/>
                      <a:ext cx="0" cy="22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253"/>
                    <xdr:cNvSpPr>
                      <a:spLocks/>
                    </xdr:cNvSpPr>
                  </xdr:nvSpPr>
                  <xdr:spPr>
                    <a:xfrm>
                      <a:off x="440"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254"/>
                    <xdr:cNvSpPr>
                      <a:spLocks/>
                    </xdr:cNvSpPr>
                  </xdr:nvSpPr>
                  <xdr:spPr>
                    <a:xfrm>
                      <a:off x="587" y="2149"/>
                      <a:ext cx="0" cy="16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255"/>
                    <xdr:cNvSpPr>
                      <a:spLocks/>
                    </xdr:cNvSpPr>
                  </xdr:nvSpPr>
                  <xdr:spPr>
                    <a:xfrm>
                      <a:off x="587" y="2314"/>
                      <a:ext cx="0" cy="14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256"/>
                    <xdr:cNvSpPr>
                      <a:spLocks/>
                    </xdr:cNvSpPr>
                  </xdr:nvSpPr>
                  <xdr:spPr>
                    <a:xfrm>
                      <a:off x="691" y="2375"/>
                      <a:ext cx="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257"/>
                    <xdr:cNvSpPr>
                      <a:spLocks/>
                    </xdr:cNvSpPr>
                  </xdr:nvSpPr>
                  <xdr:spPr>
                    <a:xfrm>
                      <a:off x="733" y="2149"/>
                      <a:ext cx="0" cy="226"/>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58"/>
                    <xdr:cNvSpPr>
                      <a:spLocks/>
                    </xdr:cNvSpPr>
                  </xdr:nvSpPr>
                  <xdr:spPr>
                    <a:xfrm>
                      <a:off x="733"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74" name="AutoShape 259"/>
                <xdr:cNvSpPr>
                  <a:spLocks/>
                </xdr:cNvSpPr>
              </xdr:nvSpPr>
              <xdr:spPr>
                <a:xfrm rot="10800000">
                  <a:off x="31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AutoShape 260"/>
                <xdr:cNvSpPr>
                  <a:spLocks/>
                </xdr:cNvSpPr>
              </xdr:nvSpPr>
              <xdr:spPr>
                <a:xfrm rot="10800000">
                  <a:off x="328"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AutoShape 261"/>
                <xdr:cNvSpPr>
                  <a:spLocks/>
                </xdr:cNvSpPr>
              </xdr:nvSpPr>
              <xdr:spPr>
                <a:xfrm rot="10800000">
                  <a:off x="345"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AutoShape 262"/>
                <xdr:cNvSpPr>
                  <a:spLocks/>
                </xdr:cNvSpPr>
              </xdr:nvSpPr>
              <xdr:spPr>
                <a:xfrm rot="10800000">
                  <a:off x="36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266"/>
                <xdr:cNvSpPr>
                  <a:spLocks/>
                </xdr:cNvSpPr>
              </xdr:nvSpPr>
              <xdr:spPr>
                <a:xfrm rot="10800000">
                  <a:off x="376"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268"/>
                <xdr:cNvSpPr>
                  <a:spLocks/>
                </xdr:cNvSpPr>
              </xdr:nvSpPr>
              <xdr:spPr>
                <a:xfrm>
                  <a:off x="304" y="2445"/>
                  <a:ext cx="9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269"/>
                <xdr:cNvSpPr>
                  <a:spLocks/>
                </xdr:cNvSpPr>
              </xdr:nvSpPr>
              <xdr:spPr>
                <a:xfrm>
                  <a:off x="399" y="244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270"/>
                <xdr:cNvSpPr>
                  <a:spLocks/>
                </xdr:cNvSpPr>
              </xdr:nvSpPr>
              <xdr:spPr>
                <a:xfrm>
                  <a:off x="305"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272"/>
                <xdr:cNvSpPr>
                  <a:spLocks/>
                </xdr:cNvSpPr>
              </xdr:nvSpPr>
              <xdr:spPr>
                <a:xfrm>
                  <a:off x="299" y="250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Oval 273"/>
                <xdr:cNvSpPr>
                  <a:spLocks/>
                </xdr:cNvSpPr>
              </xdr:nvSpPr>
              <xdr:spPr>
                <a:xfrm>
                  <a:off x="301"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274"/>
                <xdr:cNvSpPr>
                  <a:spLocks/>
                </xdr:cNvSpPr>
              </xdr:nvSpPr>
              <xdr:spPr>
                <a:xfrm>
                  <a:off x="395"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275"/>
                <xdr:cNvSpPr>
                  <a:spLocks/>
                </xdr:cNvSpPr>
              </xdr:nvSpPr>
              <xdr:spPr>
                <a:xfrm>
                  <a:off x="26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276"/>
                <xdr:cNvSpPr>
                  <a:spLocks/>
                </xdr:cNvSpPr>
              </xdr:nvSpPr>
              <xdr:spPr>
                <a:xfrm>
                  <a:off x="42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277"/>
                <xdr:cNvSpPr>
                  <a:spLocks/>
                </xdr:cNvSpPr>
              </xdr:nvSpPr>
              <xdr:spPr>
                <a:xfrm>
                  <a:off x="265" y="254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Oval 278"/>
                <xdr:cNvSpPr>
                  <a:spLocks/>
                </xdr:cNvSpPr>
              </xdr:nvSpPr>
              <xdr:spPr>
                <a:xfrm>
                  <a:off x="26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279"/>
                <xdr:cNvSpPr>
                  <a:spLocks/>
                </xdr:cNvSpPr>
              </xdr:nvSpPr>
              <xdr:spPr>
                <a:xfrm>
                  <a:off x="42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90" name="Line 285"/>
            <xdr:cNvSpPr>
              <a:spLocks/>
            </xdr:cNvSpPr>
          </xdr:nvSpPr>
          <xdr:spPr>
            <a:xfrm>
              <a:off x="349" y="2120"/>
              <a:ext cx="0" cy="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xdr:col>
      <xdr:colOff>161925</xdr:colOff>
      <xdr:row>86</xdr:row>
      <xdr:rowOff>57150</xdr:rowOff>
    </xdr:from>
    <xdr:to>
      <xdr:col>16</xdr:col>
      <xdr:colOff>85725</xdr:colOff>
      <xdr:row>107</xdr:row>
      <xdr:rowOff>0</xdr:rowOff>
    </xdr:to>
    <xdr:grpSp>
      <xdr:nvGrpSpPr>
        <xdr:cNvPr id="91" name="Group 438"/>
        <xdr:cNvGrpSpPr>
          <a:grpSpLocks/>
        </xdr:cNvGrpSpPr>
      </xdr:nvGrpSpPr>
      <xdr:grpSpPr>
        <a:xfrm>
          <a:off x="1543050" y="19373850"/>
          <a:ext cx="5991225" cy="4143375"/>
          <a:chOff x="162" y="3489"/>
          <a:chExt cx="629" cy="435"/>
        </a:xfrm>
        <a:solidFill>
          <a:srgbClr val="FFFFFF"/>
        </a:solidFill>
      </xdr:grpSpPr>
      <xdr:grpSp>
        <xdr:nvGrpSpPr>
          <xdr:cNvPr id="92" name="Group 388"/>
          <xdr:cNvGrpSpPr>
            <a:grpSpLocks/>
          </xdr:cNvGrpSpPr>
        </xdr:nvGrpSpPr>
        <xdr:grpSpPr>
          <a:xfrm>
            <a:off x="162" y="3489"/>
            <a:ext cx="629" cy="435"/>
            <a:chOff x="162" y="2113"/>
            <a:chExt cx="629" cy="435"/>
          </a:xfrm>
          <a:solidFill>
            <a:srgbClr val="FFFFFF"/>
          </a:solidFill>
        </xdr:grpSpPr>
        <xdr:sp>
          <xdr:nvSpPr>
            <xdr:cNvPr id="93" name="Line 389"/>
            <xdr:cNvSpPr>
              <a:spLocks/>
            </xdr:cNvSpPr>
          </xdr:nvSpPr>
          <xdr:spPr>
            <a:xfrm>
              <a:off x="399"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4" name="Group 390"/>
            <xdr:cNvGrpSpPr>
              <a:grpSpLocks/>
            </xdr:cNvGrpSpPr>
          </xdr:nvGrpSpPr>
          <xdr:grpSpPr>
            <a:xfrm>
              <a:off x="162" y="2113"/>
              <a:ext cx="629" cy="435"/>
              <a:chOff x="162" y="2113"/>
              <a:chExt cx="629" cy="435"/>
            </a:xfrm>
            <a:solidFill>
              <a:srgbClr val="FFFFFF"/>
            </a:solidFill>
          </xdr:grpSpPr>
          <xdr:grpSp>
            <xdr:nvGrpSpPr>
              <xdr:cNvPr id="95" name="Group 391"/>
              <xdr:cNvGrpSpPr>
                <a:grpSpLocks/>
              </xdr:cNvGrpSpPr>
            </xdr:nvGrpSpPr>
            <xdr:grpSpPr>
              <a:xfrm>
                <a:off x="162" y="2113"/>
                <a:ext cx="629" cy="435"/>
                <a:chOff x="162" y="2113"/>
                <a:chExt cx="629" cy="435"/>
              </a:xfrm>
              <a:solidFill>
                <a:srgbClr val="FFFFFF"/>
              </a:solidFill>
            </xdr:grpSpPr>
            <xdr:sp>
              <xdr:nvSpPr>
                <xdr:cNvPr id="96" name="Line 392"/>
                <xdr:cNvSpPr>
                  <a:spLocks/>
                </xdr:cNvSpPr>
              </xdr:nvSpPr>
              <xdr:spPr>
                <a:xfrm>
                  <a:off x="350" y="2364"/>
                  <a:ext cx="0" cy="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7" name="Group 393"/>
                <xdr:cNvGrpSpPr>
                  <a:grpSpLocks/>
                </xdr:cNvGrpSpPr>
              </xdr:nvGrpSpPr>
              <xdr:grpSpPr>
                <a:xfrm>
                  <a:off x="162" y="2113"/>
                  <a:ext cx="629" cy="435"/>
                  <a:chOff x="162" y="2113"/>
                  <a:chExt cx="629" cy="435"/>
                </a:xfrm>
                <a:solidFill>
                  <a:srgbClr val="FFFFFF"/>
                </a:solidFill>
              </xdr:grpSpPr>
              <xdr:grpSp>
                <xdr:nvGrpSpPr>
                  <xdr:cNvPr id="98" name="Group 394"/>
                  <xdr:cNvGrpSpPr>
                    <a:grpSpLocks/>
                  </xdr:cNvGrpSpPr>
                </xdr:nvGrpSpPr>
                <xdr:grpSpPr>
                  <a:xfrm>
                    <a:off x="162" y="2113"/>
                    <a:ext cx="629" cy="350"/>
                    <a:chOff x="162" y="2113"/>
                    <a:chExt cx="629" cy="350"/>
                  </a:xfrm>
                  <a:solidFill>
                    <a:srgbClr val="FFFFFF"/>
                  </a:solidFill>
                </xdr:grpSpPr>
                <xdr:sp>
                  <xdr:nvSpPr>
                    <xdr:cNvPr id="99" name="Line 395"/>
                    <xdr:cNvSpPr>
                      <a:spLocks/>
                    </xdr:cNvSpPr>
                  </xdr:nvSpPr>
                  <xdr:spPr>
                    <a:xfrm flipH="1">
                      <a:off x="212" y="240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Line 396"/>
                    <xdr:cNvSpPr>
                      <a:spLocks/>
                    </xdr:cNvSpPr>
                  </xdr:nvSpPr>
                  <xdr:spPr>
                    <a:xfrm>
                      <a:off x="212" y="2401"/>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397"/>
                    <xdr:cNvSpPr>
                      <a:spLocks/>
                    </xdr:cNvSpPr>
                  </xdr:nvSpPr>
                  <xdr:spPr>
                    <a:xfrm flipV="1">
                      <a:off x="213" y="2401"/>
                      <a:ext cx="29"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2" name="Group 398"/>
                    <xdr:cNvGrpSpPr>
                      <a:grpSpLocks/>
                    </xdr:cNvGrpSpPr>
                  </xdr:nvGrpSpPr>
                  <xdr:grpSpPr>
                    <a:xfrm>
                      <a:off x="162" y="2113"/>
                      <a:ext cx="629" cy="350"/>
                      <a:chOff x="162" y="2113"/>
                      <a:chExt cx="629" cy="350"/>
                    </a:xfrm>
                    <a:solidFill>
                      <a:srgbClr val="FFFFFF"/>
                    </a:solidFill>
                  </xdr:grpSpPr>
                  <xdr:grpSp>
                    <xdr:nvGrpSpPr>
                      <xdr:cNvPr id="103" name="Group 399"/>
                      <xdr:cNvGrpSpPr>
                        <a:grpSpLocks/>
                      </xdr:cNvGrpSpPr>
                    </xdr:nvGrpSpPr>
                    <xdr:grpSpPr>
                      <a:xfrm>
                        <a:off x="162" y="2113"/>
                        <a:ext cx="575" cy="350"/>
                        <a:chOff x="162" y="2113"/>
                        <a:chExt cx="575" cy="350"/>
                      </a:xfrm>
                      <a:solidFill>
                        <a:srgbClr val="FFFFFF"/>
                      </a:solidFill>
                    </xdr:grpSpPr>
                    <xdr:sp>
                      <xdr:nvSpPr>
                        <xdr:cNvPr id="104" name="Line 400"/>
                        <xdr:cNvSpPr>
                          <a:spLocks/>
                        </xdr:cNvSpPr>
                      </xdr:nvSpPr>
                      <xdr:spPr>
                        <a:xfrm>
                          <a:off x="185" y="2148"/>
                          <a:ext cx="0" cy="31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5" name="Group 401"/>
                        <xdr:cNvGrpSpPr>
                          <a:grpSpLocks/>
                        </xdr:cNvGrpSpPr>
                      </xdr:nvGrpSpPr>
                      <xdr:grpSpPr>
                        <a:xfrm>
                          <a:off x="162" y="2113"/>
                          <a:ext cx="575" cy="350"/>
                          <a:chOff x="162" y="2113"/>
                          <a:chExt cx="575" cy="350"/>
                        </a:xfrm>
                        <a:solidFill>
                          <a:srgbClr val="FFFFFF"/>
                        </a:solidFill>
                      </xdr:grpSpPr>
                      <xdr:sp>
                        <xdr:nvSpPr>
                          <xdr:cNvPr id="106" name="Line 402"/>
                          <xdr:cNvSpPr>
                            <a:spLocks/>
                          </xdr:cNvSpPr>
                        </xdr:nvSpPr>
                        <xdr:spPr>
                          <a:xfrm>
                            <a:off x="162" y="2460"/>
                            <a:ext cx="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Rectangle 403"/>
                          <xdr:cNvSpPr>
                            <a:spLocks/>
                          </xdr:cNvSpPr>
                        </xdr:nvSpPr>
                        <xdr:spPr>
                          <a:xfrm>
                            <a:off x="341" y="2113"/>
                            <a:ext cx="18" cy="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Rectangle 404"/>
                          <xdr:cNvSpPr>
                            <a:spLocks/>
                          </xdr:cNvSpPr>
                        </xdr:nvSpPr>
                        <xdr:spPr>
                          <a:xfrm>
                            <a:off x="320" y="2160"/>
                            <a:ext cx="62" cy="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Rectangle 405"/>
                          <xdr:cNvSpPr>
                            <a:spLocks/>
                          </xdr:cNvSpPr>
                        </xdr:nvSpPr>
                        <xdr:spPr>
                          <a:xfrm>
                            <a:off x="342" y="2185"/>
                            <a:ext cx="14" cy="19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406"/>
                          <xdr:cNvSpPr>
                            <a:spLocks/>
                          </xdr:cNvSpPr>
                        </xdr:nvSpPr>
                        <xdr:spPr>
                          <a:xfrm>
                            <a:off x="194" y="2376"/>
                            <a:ext cx="3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407"/>
                          <xdr:cNvSpPr>
                            <a:spLocks/>
                          </xdr:cNvSpPr>
                        </xdr:nvSpPr>
                        <xdr:spPr>
                          <a:xfrm>
                            <a:off x="194" y="2314"/>
                            <a:ext cx="4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408"/>
                          <xdr:cNvSpPr>
                            <a:spLocks/>
                          </xdr:cNvSpPr>
                        </xdr:nvSpPr>
                        <xdr:spPr>
                          <a:xfrm flipH="1">
                            <a:off x="267" y="2313"/>
                            <a:ext cx="75" cy="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Line 409"/>
                          <xdr:cNvSpPr>
                            <a:spLocks/>
                          </xdr:cNvSpPr>
                        </xdr:nvSpPr>
                        <xdr:spPr>
                          <a:xfrm>
                            <a:off x="357" y="2314"/>
                            <a:ext cx="73" cy="14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410"/>
                          <xdr:cNvSpPr>
                            <a:spLocks/>
                          </xdr:cNvSpPr>
                        </xdr:nvSpPr>
                        <xdr:spPr>
                          <a:xfrm flipH="1">
                            <a:off x="305" y="2377"/>
                            <a:ext cx="37"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411"/>
                          <xdr:cNvSpPr>
                            <a:spLocks/>
                          </xdr:cNvSpPr>
                        </xdr:nvSpPr>
                        <xdr:spPr>
                          <a:xfrm>
                            <a:off x="356" y="2376"/>
                            <a:ext cx="41"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16" name="Line 412"/>
                      <xdr:cNvSpPr>
                        <a:spLocks/>
                      </xdr:cNvSpPr>
                    </xdr:nvSpPr>
                    <xdr:spPr>
                      <a:xfrm>
                        <a:off x="243" y="2315"/>
                        <a:ext cx="0" cy="6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413"/>
                      <xdr:cNvSpPr>
                        <a:spLocks/>
                      </xdr:cNvSpPr>
                    </xdr:nvSpPr>
                    <xdr:spPr>
                      <a:xfrm>
                        <a:off x="440" y="2151"/>
                        <a:ext cx="0" cy="22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414"/>
                      <xdr:cNvSpPr>
                        <a:spLocks/>
                      </xdr:cNvSpPr>
                    </xdr:nvSpPr>
                    <xdr:spPr>
                      <a:xfrm>
                        <a:off x="440"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415"/>
                      <xdr:cNvSpPr>
                        <a:spLocks/>
                      </xdr:cNvSpPr>
                    </xdr:nvSpPr>
                    <xdr:spPr>
                      <a:xfrm>
                        <a:off x="587" y="2149"/>
                        <a:ext cx="0" cy="16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Line 416"/>
                      <xdr:cNvSpPr>
                        <a:spLocks/>
                      </xdr:cNvSpPr>
                    </xdr:nvSpPr>
                    <xdr:spPr>
                      <a:xfrm>
                        <a:off x="587" y="2314"/>
                        <a:ext cx="0" cy="14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Line 417"/>
                      <xdr:cNvSpPr>
                        <a:spLocks/>
                      </xdr:cNvSpPr>
                    </xdr:nvSpPr>
                    <xdr:spPr>
                      <a:xfrm>
                        <a:off x="691" y="2375"/>
                        <a:ext cx="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418"/>
                      <xdr:cNvSpPr>
                        <a:spLocks/>
                      </xdr:cNvSpPr>
                    </xdr:nvSpPr>
                    <xdr:spPr>
                      <a:xfrm>
                        <a:off x="733" y="2149"/>
                        <a:ext cx="0" cy="226"/>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419"/>
                      <xdr:cNvSpPr>
                        <a:spLocks/>
                      </xdr:cNvSpPr>
                    </xdr:nvSpPr>
                    <xdr:spPr>
                      <a:xfrm>
                        <a:off x="733"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24" name="AutoShape 420"/>
                  <xdr:cNvSpPr>
                    <a:spLocks/>
                  </xdr:cNvSpPr>
                </xdr:nvSpPr>
                <xdr:spPr>
                  <a:xfrm rot="10800000">
                    <a:off x="31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AutoShape 421"/>
                  <xdr:cNvSpPr>
                    <a:spLocks/>
                  </xdr:cNvSpPr>
                </xdr:nvSpPr>
                <xdr:spPr>
                  <a:xfrm rot="10800000">
                    <a:off x="328"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AutoShape 422"/>
                  <xdr:cNvSpPr>
                    <a:spLocks/>
                  </xdr:cNvSpPr>
                </xdr:nvSpPr>
                <xdr:spPr>
                  <a:xfrm rot="10800000">
                    <a:off x="345"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AutoShape 423"/>
                  <xdr:cNvSpPr>
                    <a:spLocks/>
                  </xdr:cNvSpPr>
                </xdr:nvSpPr>
                <xdr:spPr>
                  <a:xfrm rot="10800000">
                    <a:off x="36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AutoShape 424"/>
                  <xdr:cNvSpPr>
                    <a:spLocks/>
                  </xdr:cNvSpPr>
                </xdr:nvSpPr>
                <xdr:spPr>
                  <a:xfrm rot="10800000">
                    <a:off x="376"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425"/>
                  <xdr:cNvSpPr>
                    <a:spLocks/>
                  </xdr:cNvSpPr>
                </xdr:nvSpPr>
                <xdr:spPr>
                  <a:xfrm>
                    <a:off x="304" y="2445"/>
                    <a:ext cx="9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Line 426"/>
                  <xdr:cNvSpPr>
                    <a:spLocks/>
                  </xdr:cNvSpPr>
                </xdr:nvSpPr>
                <xdr:spPr>
                  <a:xfrm>
                    <a:off x="399" y="244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Line 427"/>
                  <xdr:cNvSpPr>
                    <a:spLocks/>
                  </xdr:cNvSpPr>
                </xdr:nvSpPr>
                <xdr:spPr>
                  <a:xfrm>
                    <a:off x="305"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Line 428"/>
                  <xdr:cNvSpPr>
                    <a:spLocks/>
                  </xdr:cNvSpPr>
                </xdr:nvSpPr>
                <xdr:spPr>
                  <a:xfrm>
                    <a:off x="299" y="250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Oval 429"/>
                  <xdr:cNvSpPr>
                    <a:spLocks/>
                  </xdr:cNvSpPr>
                </xdr:nvSpPr>
                <xdr:spPr>
                  <a:xfrm>
                    <a:off x="301"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Oval 430"/>
                  <xdr:cNvSpPr>
                    <a:spLocks/>
                  </xdr:cNvSpPr>
                </xdr:nvSpPr>
                <xdr:spPr>
                  <a:xfrm>
                    <a:off x="395"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431"/>
                  <xdr:cNvSpPr>
                    <a:spLocks/>
                  </xdr:cNvSpPr>
                </xdr:nvSpPr>
                <xdr:spPr>
                  <a:xfrm>
                    <a:off x="26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432"/>
                  <xdr:cNvSpPr>
                    <a:spLocks/>
                  </xdr:cNvSpPr>
                </xdr:nvSpPr>
                <xdr:spPr>
                  <a:xfrm>
                    <a:off x="42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433"/>
                  <xdr:cNvSpPr>
                    <a:spLocks/>
                  </xdr:cNvSpPr>
                </xdr:nvSpPr>
                <xdr:spPr>
                  <a:xfrm>
                    <a:off x="265" y="254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Oval 434"/>
                  <xdr:cNvSpPr>
                    <a:spLocks/>
                  </xdr:cNvSpPr>
                </xdr:nvSpPr>
                <xdr:spPr>
                  <a:xfrm>
                    <a:off x="26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Oval 435"/>
                  <xdr:cNvSpPr>
                    <a:spLocks/>
                  </xdr:cNvSpPr>
                </xdr:nvSpPr>
                <xdr:spPr>
                  <a:xfrm>
                    <a:off x="42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40" name="Line 436"/>
              <xdr:cNvSpPr>
                <a:spLocks/>
              </xdr:cNvSpPr>
            </xdr:nvSpPr>
            <xdr:spPr>
              <a:xfrm>
                <a:off x="349" y="2120"/>
                <a:ext cx="0" cy="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41" name="Line 437"/>
          <xdr:cNvSpPr>
            <a:spLocks/>
          </xdr:cNvSpPr>
        </xdr:nvSpPr>
        <xdr:spPr>
          <a:xfrm>
            <a:off x="188" y="3526"/>
            <a:ext cx="54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161925</xdr:colOff>
      <xdr:row>151</xdr:row>
      <xdr:rowOff>47625</xdr:rowOff>
    </xdr:from>
    <xdr:to>
      <xdr:col>16</xdr:col>
      <xdr:colOff>85725</xdr:colOff>
      <xdr:row>171</xdr:row>
      <xdr:rowOff>190500</xdr:rowOff>
    </xdr:to>
    <xdr:grpSp>
      <xdr:nvGrpSpPr>
        <xdr:cNvPr id="142" name="Group 439"/>
        <xdr:cNvGrpSpPr>
          <a:grpSpLocks/>
        </xdr:cNvGrpSpPr>
      </xdr:nvGrpSpPr>
      <xdr:grpSpPr>
        <a:xfrm>
          <a:off x="1543050" y="34318575"/>
          <a:ext cx="5991225" cy="4143375"/>
          <a:chOff x="162" y="3489"/>
          <a:chExt cx="629" cy="435"/>
        </a:xfrm>
        <a:solidFill>
          <a:srgbClr val="FFFFFF"/>
        </a:solidFill>
      </xdr:grpSpPr>
      <xdr:grpSp>
        <xdr:nvGrpSpPr>
          <xdr:cNvPr id="143" name="Group 440"/>
          <xdr:cNvGrpSpPr>
            <a:grpSpLocks/>
          </xdr:cNvGrpSpPr>
        </xdr:nvGrpSpPr>
        <xdr:grpSpPr>
          <a:xfrm>
            <a:off x="162" y="3489"/>
            <a:ext cx="629" cy="435"/>
            <a:chOff x="162" y="2113"/>
            <a:chExt cx="629" cy="435"/>
          </a:xfrm>
          <a:solidFill>
            <a:srgbClr val="FFFFFF"/>
          </a:solidFill>
        </xdr:grpSpPr>
        <xdr:sp>
          <xdr:nvSpPr>
            <xdr:cNvPr id="144" name="Line 441"/>
            <xdr:cNvSpPr>
              <a:spLocks/>
            </xdr:cNvSpPr>
          </xdr:nvSpPr>
          <xdr:spPr>
            <a:xfrm>
              <a:off x="399"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5" name="Group 442"/>
            <xdr:cNvGrpSpPr>
              <a:grpSpLocks/>
            </xdr:cNvGrpSpPr>
          </xdr:nvGrpSpPr>
          <xdr:grpSpPr>
            <a:xfrm>
              <a:off x="162" y="2113"/>
              <a:ext cx="629" cy="435"/>
              <a:chOff x="162" y="2113"/>
              <a:chExt cx="629" cy="435"/>
            </a:xfrm>
            <a:solidFill>
              <a:srgbClr val="FFFFFF"/>
            </a:solidFill>
          </xdr:grpSpPr>
          <xdr:grpSp>
            <xdr:nvGrpSpPr>
              <xdr:cNvPr id="146" name="Group 443"/>
              <xdr:cNvGrpSpPr>
                <a:grpSpLocks/>
              </xdr:cNvGrpSpPr>
            </xdr:nvGrpSpPr>
            <xdr:grpSpPr>
              <a:xfrm>
                <a:off x="162" y="2113"/>
                <a:ext cx="629" cy="435"/>
                <a:chOff x="162" y="2113"/>
                <a:chExt cx="629" cy="435"/>
              </a:xfrm>
              <a:solidFill>
                <a:srgbClr val="FFFFFF"/>
              </a:solidFill>
            </xdr:grpSpPr>
            <xdr:sp>
              <xdr:nvSpPr>
                <xdr:cNvPr id="147" name="Line 444"/>
                <xdr:cNvSpPr>
                  <a:spLocks/>
                </xdr:cNvSpPr>
              </xdr:nvSpPr>
              <xdr:spPr>
                <a:xfrm>
                  <a:off x="350" y="2364"/>
                  <a:ext cx="0" cy="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8" name="Group 445"/>
                <xdr:cNvGrpSpPr>
                  <a:grpSpLocks/>
                </xdr:cNvGrpSpPr>
              </xdr:nvGrpSpPr>
              <xdr:grpSpPr>
                <a:xfrm>
                  <a:off x="162" y="2113"/>
                  <a:ext cx="629" cy="435"/>
                  <a:chOff x="162" y="2113"/>
                  <a:chExt cx="629" cy="435"/>
                </a:xfrm>
                <a:solidFill>
                  <a:srgbClr val="FFFFFF"/>
                </a:solidFill>
              </xdr:grpSpPr>
              <xdr:grpSp>
                <xdr:nvGrpSpPr>
                  <xdr:cNvPr id="149" name="Group 446"/>
                  <xdr:cNvGrpSpPr>
                    <a:grpSpLocks/>
                  </xdr:cNvGrpSpPr>
                </xdr:nvGrpSpPr>
                <xdr:grpSpPr>
                  <a:xfrm>
                    <a:off x="162" y="2113"/>
                    <a:ext cx="629" cy="350"/>
                    <a:chOff x="162" y="2113"/>
                    <a:chExt cx="629" cy="350"/>
                  </a:xfrm>
                  <a:solidFill>
                    <a:srgbClr val="FFFFFF"/>
                  </a:solidFill>
                </xdr:grpSpPr>
                <xdr:sp>
                  <xdr:nvSpPr>
                    <xdr:cNvPr id="150" name="Line 447"/>
                    <xdr:cNvSpPr>
                      <a:spLocks/>
                    </xdr:cNvSpPr>
                  </xdr:nvSpPr>
                  <xdr:spPr>
                    <a:xfrm flipH="1">
                      <a:off x="212" y="240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448"/>
                    <xdr:cNvSpPr>
                      <a:spLocks/>
                    </xdr:cNvSpPr>
                  </xdr:nvSpPr>
                  <xdr:spPr>
                    <a:xfrm>
                      <a:off x="212" y="2401"/>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Line 449"/>
                    <xdr:cNvSpPr>
                      <a:spLocks/>
                    </xdr:cNvSpPr>
                  </xdr:nvSpPr>
                  <xdr:spPr>
                    <a:xfrm flipV="1">
                      <a:off x="213" y="2401"/>
                      <a:ext cx="29"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3" name="Group 450"/>
                    <xdr:cNvGrpSpPr>
                      <a:grpSpLocks/>
                    </xdr:cNvGrpSpPr>
                  </xdr:nvGrpSpPr>
                  <xdr:grpSpPr>
                    <a:xfrm>
                      <a:off x="162" y="2113"/>
                      <a:ext cx="629" cy="350"/>
                      <a:chOff x="162" y="2113"/>
                      <a:chExt cx="629" cy="350"/>
                    </a:xfrm>
                    <a:solidFill>
                      <a:srgbClr val="FFFFFF"/>
                    </a:solidFill>
                  </xdr:grpSpPr>
                  <xdr:grpSp>
                    <xdr:nvGrpSpPr>
                      <xdr:cNvPr id="154" name="Group 451"/>
                      <xdr:cNvGrpSpPr>
                        <a:grpSpLocks/>
                      </xdr:cNvGrpSpPr>
                    </xdr:nvGrpSpPr>
                    <xdr:grpSpPr>
                      <a:xfrm>
                        <a:off x="162" y="2113"/>
                        <a:ext cx="575" cy="350"/>
                        <a:chOff x="162" y="2113"/>
                        <a:chExt cx="575" cy="350"/>
                      </a:xfrm>
                      <a:solidFill>
                        <a:srgbClr val="FFFFFF"/>
                      </a:solidFill>
                    </xdr:grpSpPr>
                    <xdr:sp>
                      <xdr:nvSpPr>
                        <xdr:cNvPr id="155" name="Line 452"/>
                        <xdr:cNvSpPr>
                          <a:spLocks/>
                        </xdr:cNvSpPr>
                      </xdr:nvSpPr>
                      <xdr:spPr>
                        <a:xfrm>
                          <a:off x="185" y="2148"/>
                          <a:ext cx="0" cy="311"/>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6" name="Group 453"/>
                        <xdr:cNvGrpSpPr>
                          <a:grpSpLocks/>
                        </xdr:cNvGrpSpPr>
                      </xdr:nvGrpSpPr>
                      <xdr:grpSpPr>
                        <a:xfrm>
                          <a:off x="162" y="2113"/>
                          <a:ext cx="575" cy="350"/>
                          <a:chOff x="162" y="2113"/>
                          <a:chExt cx="575" cy="350"/>
                        </a:xfrm>
                        <a:solidFill>
                          <a:srgbClr val="FFFFFF"/>
                        </a:solidFill>
                      </xdr:grpSpPr>
                      <xdr:sp>
                        <xdr:nvSpPr>
                          <xdr:cNvPr id="157" name="Line 454"/>
                          <xdr:cNvSpPr>
                            <a:spLocks/>
                          </xdr:cNvSpPr>
                        </xdr:nvSpPr>
                        <xdr:spPr>
                          <a:xfrm>
                            <a:off x="162" y="2460"/>
                            <a:ext cx="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Rectangle 455"/>
                          <xdr:cNvSpPr>
                            <a:spLocks/>
                          </xdr:cNvSpPr>
                        </xdr:nvSpPr>
                        <xdr:spPr>
                          <a:xfrm>
                            <a:off x="341" y="2113"/>
                            <a:ext cx="18" cy="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Rectangle 456"/>
                          <xdr:cNvSpPr>
                            <a:spLocks/>
                          </xdr:cNvSpPr>
                        </xdr:nvSpPr>
                        <xdr:spPr>
                          <a:xfrm>
                            <a:off x="320" y="2160"/>
                            <a:ext cx="62" cy="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Rectangle 457"/>
                          <xdr:cNvSpPr>
                            <a:spLocks/>
                          </xdr:cNvSpPr>
                        </xdr:nvSpPr>
                        <xdr:spPr>
                          <a:xfrm>
                            <a:off x="342" y="2185"/>
                            <a:ext cx="14" cy="19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458"/>
                          <xdr:cNvSpPr>
                            <a:spLocks/>
                          </xdr:cNvSpPr>
                        </xdr:nvSpPr>
                        <xdr:spPr>
                          <a:xfrm>
                            <a:off x="194" y="2376"/>
                            <a:ext cx="3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Line 459"/>
                          <xdr:cNvSpPr>
                            <a:spLocks/>
                          </xdr:cNvSpPr>
                        </xdr:nvSpPr>
                        <xdr:spPr>
                          <a:xfrm>
                            <a:off x="194" y="2314"/>
                            <a:ext cx="4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Line 460"/>
                          <xdr:cNvSpPr>
                            <a:spLocks/>
                          </xdr:cNvSpPr>
                        </xdr:nvSpPr>
                        <xdr:spPr>
                          <a:xfrm flipH="1">
                            <a:off x="267" y="2313"/>
                            <a:ext cx="75" cy="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461"/>
                          <xdr:cNvSpPr>
                            <a:spLocks/>
                          </xdr:cNvSpPr>
                        </xdr:nvSpPr>
                        <xdr:spPr>
                          <a:xfrm>
                            <a:off x="357" y="2314"/>
                            <a:ext cx="73" cy="14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462"/>
                          <xdr:cNvSpPr>
                            <a:spLocks/>
                          </xdr:cNvSpPr>
                        </xdr:nvSpPr>
                        <xdr:spPr>
                          <a:xfrm flipH="1">
                            <a:off x="305" y="2377"/>
                            <a:ext cx="37"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463"/>
                          <xdr:cNvSpPr>
                            <a:spLocks/>
                          </xdr:cNvSpPr>
                        </xdr:nvSpPr>
                        <xdr:spPr>
                          <a:xfrm>
                            <a:off x="356" y="2376"/>
                            <a:ext cx="41" cy="8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67" name="Line 464"/>
                      <xdr:cNvSpPr>
                        <a:spLocks/>
                      </xdr:cNvSpPr>
                    </xdr:nvSpPr>
                    <xdr:spPr>
                      <a:xfrm>
                        <a:off x="243" y="2315"/>
                        <a:ext cx="0" cy="6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465"/>
                      <xdr:cNvSpPr>
                        <a:spLocks/>
                      </xdr:cNvSpPr>
                    </xdr:nvSpPr>
                    <xdr:spPr>
                      <a:xfrm>
                        <a:off x="440" y="2151"/>
                        <a:ext cx="0" cy="22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466"/>
                      <xdr:cNvSpPr>
                        <a:spLocks/>
                      </xdr:cNvSpPr>
                    </xdr:nvSpPr>
                    <xdr:spPr>
                      <a:xfrm>
                        <a:off x="440"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467"/>
                      <xdr:cNvSpPr>
                        <a:spLocks/>
                      </xdr:cNvSpPr>
                    </xdr:nvSpPr>
                    <xdr:spPr>
                      <a:xfrm>
                        <a:off x="587" y="2149"/>
                        <a:ext cx="0" cy="16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468"/>
                      <xdr:cNvSpPr>
                        <a:spLocks/>
                      </xdr:cNvSpPr>
                    </xdr:nvSpPr>
                    <xdr:spPr>
                      <a:xfrm>
                        <a:off x="587" y="2314"/>
                        <a:ext cx="0" cy="14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 name="Line 469"/>
                      <xdr:cNvSpPr>
                        <a:spLocks/>
                      </xdr:cNvSpPr>
                    </xdr:nvSpPr>
                    <xdr:spPr>
                      <a:xfrm>
                        <a:off x="691" y="2375"/>
                        <a:ext cx="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Line 470"/>
                      <xdr:cNvSpPr>
                        <a:spLocks/>
                      </xdr:cNvSpPr>
                    </xdr:nvSpPr>
                    <xdr:spPr>
                      <a:xfrm>
                        <a:off x="733" y="2149"/>
                        <a:ext cx="0" cy="226"/>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471"/>
                      <xdr:cNvSpPr>
                        <a:spLocks/>
                      </xdr:cNvSpPr>
                    </xdr:nvSpPr>
                    <xdr:spPr>
                      <a:xfrm>
                        <a:off x="733" y="2375"/>
                        <a:ext cx="0" cy="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75" name="AutoShape 472"/>
                  <xdr:cNvSpPr>
                    <a:spLocks/>
                  </xdr:cNvSpPr>
                </xdr:nvSpPr>
                <xdr:spPr>
                  <a:xfrm rot="10800000">
                    <a:off x="31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AutoShape 473"/>
                  <xdr:cNvSpPr>
                    <a:spLocks/>
                  </xdr:cNvSpPr>
                </xdr:nvSpPr>
                <xdr:spPr>
                  <a:xfrm rot="10800000">
                    <a:off x="328"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AutoShape 474"/>
                  <xdr:cNvSpPr>
                    <a:spLocks/>
                  </xdr:cNvSpPr>
                </xdr:nvSpPr>
                <xdr:spPr>
                  <a:xfrm rot="10800000">
                    <a:off x="345"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AutoShape 475"/>
                  <xdr:cNvSpPr>
                    <a:spLocks/>
                  </xdr:cNvSpPr>
                </xdr:nvSpPr>
                <xdr:spPr>
                  <a:xfrm rot="10800000">
                    <a:off x="361"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AutoShape 476"/>
                  <xdr:cNvSpPr>
                    <a:spLocks/>
                  </xdr:cNvSpPr>
                </xdr:nvSpPr>
                <xdr:spPr>
                  <a:xfrm rot="10800000">
                    <a:off x="376" y="2445"/>
                    <a:ext cx="13" cy="14"/>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477"/>
                  <xdr:cNvSpPr>
                    <a:spLocks/>
                  </xdr:cNvSpPr>
                </xdr:nvSpPr>
                <xdr:spPr>
                  <a:xfrm>
                    <a:off x="304" y="2445"/>
                    <a:ext cx="9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478"/>
                  <xdr:cNvSpPr>
                    <a:spLocks/>
                  </xdr:cNvSpPr>
                </xdr:nvSpPr>
                <xdr:spPr>
                  <a:xfrm>
                    <a:off x="399" y="244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 name="Line 479"/>
                  <xdr:cNvSpPr>
                    <a:spLocks/>
                  </xdr:cNvSpPr>
                </xdr:nvSpPr>
                <xdr:spPr>
                  <a:xfrm>
                    <a:off x="305" y="2460"/>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Line 480"/>
                  <xdr:cNvSpPr>
                    <a:spLocks/>
                  </xdr:cNvSpPr>
                </xdr:nvSpPr>
                <xdr:spPr>
                  <a:xfrm>
                    <a:off x="299" y="2502"/>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Oval 481"/>
                  <xdr:cNvSpPr>
                    <a:spLocks/>
                  </xdr:cNvSpPr>
                </xdr:nvSpPr>
                <xdr:spPr>
                  <a:xfrm>
                    <a:off x="301"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Oval 482"/>
                  <xdr:cNvSpPr>
                    <a:spLocks/>
                  </xdr:cNvSpPr>
                </xdr:nvSpPr>
                <xdr:spPr>
                  <a:xfrm>
                    <a:off x="395" y="2498"/>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483"/>
                  <xdr:cNvSpPr>
                    <a:spLocks/>
                  </xdr:cNvSpPr>
                </xdr:nvSpPr>
                <xdr:spPr>
                  <a:xfrm>
                    <a:off x="26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484"/>
                  <xdr:cNvSpPr>
                    <a:spLocks/>
                  </xdr:cNvSpPr>
                </xdr:nvSpPr>
                <xdr:spPr>
                  <a:xfrm>
                    <a:off x="429" y="2460"/>
                    <a:ext cx="0" cy="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485"/>
                  <xdr:cNvSpPr>
                    <a:spLocks/>
                  </xdr:cNvSpPr>
                </xdr:nvSpPr>
                <xdr:spPr>
                  <a:xfrm>
                    <a:off x="265" y="254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Oval 486"/>
                  <xdr:cNvSpPr>
                    <a:spLocks/>
                  </xdr:cNvSpPr>
                </xdr:nvSpPr>
                <xdr:spPr>
                  <a:xfrm>
                    <a:off x="26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Oval 487"/>
                  <xdr:cNvSpPr>
                    <a:spLocks/>
                  </xdr:cNvSpPr>
                </xdr:nvSpPr>
                <xdr:spPr>
                  <a:xfrm>
                    <a:off x="425" y="2540"/>
                    <a:ext cx="8" cy="8"/>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91" name="Line 488"/>
              <xdr:cNvSpPr>
                <a:spLocks/>
              </xdr:cNvSpPr>
            </xdr:nvSpPr>
            <xdr:spPr>
              <a:xfrm>
                <a:off x="349" y="2120"/>
                <a:ext cx="0" cy="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92" name="Line 489"/>
          <xdr:cNvSpPr>
            <a:spLocks/>
          </xdr:cNvSpPr>
        </xdr:nvSpPr>
        <xdr:spPr>
          <a:xfrm>
            <a:off x="188" y="3526"/>
            <a:ext cx="54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0</xdr:row>
      <xdr:rowOff>0</xdr:rowOff>
    </xdr:from>
    <xdr:to>
      <xdr:col>11</xdr:col>
      <xdr:colOff>323850</xdr:colOff>
      <xdr:row>0</xdr:row>
      <xdr:rowOff>0</xdr:rowOff>
    </xdr:to>
    <xdr:grpSp>
      <xdr:nvGrpSpPr>
        <xdr:cNvPr id="193" name="Group 492"/>
        <xdr:cNvGrpSpPr>
          <a:grpSpLocks/>
        </xdr:cNvGrpSpPr>
      </xdr:nvGrpSpPr>
      <xdr:grpSpPr>
        <a:xfrm>
          <a:off x="1485900" y="0"/>
          <a:ext cx="3952875" cy="0"/>
          <a:chOff x="156" y="157"/>
          <a:chExt cx="415" cy="299"/>
        </a:xfrm>
        <a:solidFill>
          <a:srgbClr val="FFFFFF"/>
        </a:solidFill>
      </xdr:grpSpPr>
      <xdr:grpSp>
        <xdr:nvGrpSpPr>
          <xdr:cNvPr id="194" name="Group 138"/>
          <xdr:cNvGrpSpPr>
            <a:grpSpLocks/>
          </xdr:cNvGrpSpPr>
        </xdr:nvGrpSpPr>
        <xdr:grpSpPr>
          <a:xfrm>
            <a:off x="156" y="157"/>
            <a:ext cx="415" cy="299"/>
            <a:chOff x="1101" y="146"/>
            <a:chExt cx="415" cy="299"/>
          </a:xfrm>
          <a:solidFill>
            <a:srgbClr val="FFFFFF"/>
          </a:solidFill>
        </xdr:grpSpPr>
        <xdr:sp>
          <xdr:nvSpPr>
            <xdr:cNvPr id="195" name="Rectangle 40"/>
            <xdr:cNvSpPr>
              <a:spLocks/>
            </xdr:cNvSpPr>
          </xdr:nvSpPr>
          <xdr:spPr>
            <a:xfrm>
              <a:off x="1101" y="332"/>
              <a:ext cx="415"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47"/>
            <xdr:cNvSpPr>
              <a:spLocks/>
            </xdr:cNvSpPr>
          </xdr:nvSpPr>
          <xdr:spPr>
            <a:xfrm flipV="1">
              <a:off x="1133" y="238"/>
              <a:ext cx="95" cy="164"/>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48"/>
            <xdr:cNvSpPr>
              <a:spLocks/>
            </xdr:cNvSpPr>
          </xdr:nvSpPr>
          <xdr:spPr>
            <a:xfrm flipV="1">
              <a:off x="1156" y="238"/>
              <a:ext cx="9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49"/>
            <xdr:cNvSpPr>
              <a:spLocks/>
            </xdr:cNvSpPr>
          </xdr:nvSpPr>
          <xdr:spPr>
            <a:xfrm flipV="1">
              <a:off x="1226" y="238"/>
              <a:ext cx="97" cy="162"/>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50"/>
            <xdr:cNvSpPr>
              <a:spLocks/>
            </xdr:cNvSpPr>
          </xdr:nvSpPr>
          <xdr:spPr>
            <a:xfrm>
              <a:off x="1344" y="238"/>
              <a:ext cx="8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51"/>
            <xdr:cNvSpPr>
              <a:spLocks/>
            </xdr:cNvSpPr>
          </xdr:nvSpPr>
          <xdr:spPr>
            <a:xfrm>
              <a:off x="1312" y="238"/>
              <a:ext cx="84" cy="159"/>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52"/>
            <xdr:cNvSpPr>
              <a:spLocks/>
            </xdr:cNvSpPr>
          </xdr:nvSpPr>
          <xdr:spPr>
            <a:xfrm>
              <a:off x="1250" y="238"/>
              <a:ext cx="83"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 name="Line 53"/>
            <xdr:cNvSpPr>
              <a:spLocks/>
            </xdr:cNvSpPr>
          </xdr:nvSpPr>
          <xdr:spPr>
            <a:xfrm>
              <a:off x="1173"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 name="Line 54"/>
            <xdr:cNvSpPr>
              <a:spLocks/>
            </xdr:cNvSpPr>
          </xdr:nvSpPr>
          <xdr:spPr>
            <a:xfrm>
              <a:off x="1395"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55"/>
            <xdr:cNvSpPr>
              <a:spLocks/>
            </xdr:cNvSpPr>
          </xdr:nvSpPr>
          <xdr:spPr>
            <a:xfrm>
              <a:off x="1175" y="429"/>
              <a:ext cx="21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Rectangle 37"/>
            <xdr:cNvSpPr>
              <a:spLocks/>
            </xdr:cNvSpPr>
          </xdr:nvSpPr>
          <xdr:spPr>
            <a:xfrm>
              <a:off x="1256" y="147"/>
              <a:ext cx="58" cy="9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Rectangle 38"/>
            <xdr:cNvSpPr>
              <a:spLocks/>
            </xdr:cNvSpPr>
          </xdr:nvSpPr>
          <xdr:spPr>
            <a:xfrm>
              <a:off x="1226"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Rectangle 39"/>
            <xdr:cNvSpPr>
              <a:spLocks/>
            </xdr:cNvSpPr>
          </xdr:nvSpPr>
          <xdr:spPr>
            <a:xfrm>
              <a:off x="1319"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56"/>
            <xdr:cNvSpPr>
              <a:spLocks/>
            </xdr:cNvSpPr>
          </xdr:nvSpPr>
          <xdr:spPr>
            <a:xfrm>
              <a:off x="1228" y="192"/>
              <a:ext cx="1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70"/>
            <xdr:cNvSpPr>
              <a:spLocks/>
            </xdr:cNvSpPr>
          </xdr:nvSpPr>
          <xdr:spPr>
            <a:xfrm>
              <a:off x="1102" y="33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71"/>
            <xdr:cNvSpPr>
              <a:spLocks/>
            </xdr:cNvSpPr>
          </xdr:nvSpPr>
          <xdr:spPr>
            <a:xfrm>
              <a:off x="1102" y="339"/>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72"/>
            <xdr:cNvSpPr>
              <a:spLocks/>
            </xdr:cNvSpPr>
          </xdr:nvSpPr>
          <xdr:spPr>
            <a:xfrm>
              <a:off x="1102" y="34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 name="Line 73"/>
            <xdr:cNvSpPr>
              <a:spLocks/>
            </xdr:cNvSpPr>
          </xdr:nvSpPr>
          <xdr:spPr>
            <a:xfrm>
              <a:off x="1102" y="35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 name="Line 74"/>
            <xdr:cNvSpPr>
              <a:spLocks/>
            </xdr:cNvSpPr>
          </xdr:nvSpPr>
          <xdr:spPr>
            <a:xfrm>
              <a:off x="1102" y="35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75"/>
            <xdr:cNvSpPr>
              <a:spLocks/>
            </xdr:cNvSpPr>
          </xdr:nvSpPr>
          <xdr:spPr>
            <a:xfrm>
              <a:off x="1102" y="36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77"/>
            <xdr:cNvSpPr>
              <a:spLocks/>
            </xdr:cNvSpPr>
          </xdr:nvSpPr>
          <xdr:spPr>
            <a:xfrm>
              <a:off x="1102" y="37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78"/>
            <xdr:cNvSpPr>
              <a:spLocks/>
            </xdr:cNvSpPr>
          </xdr:nvSpPr>
          <xdr:spPr>
            <a:xfrm>
              <a:off x="1102" y="37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79"/>
            <xdr:cNvSpPr>
              <a:spLocks/>
            </xdr:cNvSpPr>
          </xdr:nvSpPr>
          <xdr:spPr>
            <a:xfrm>
              <a:off x="1102" y="38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80"/>
            <xdr:cNvSpPr>
              <a:spLocks/>
            </xdr:cNvSpPr>
          </xdr:nvSpPr>
          <xdr:spPr>
            <a:xfrm>
              <a:off x="1102" y="38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81"/>
            <xdr:cNvSpPr>
              <a:spLocks/>
            </xdr:cNvSpPr>
          </xdr:nvSpPr>
          <xdr:spPr>
            <a:xfrm>
              <a:off x="1102" y="39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0" name="Line 490"/>
          <xdr:cNvSpPr>
            <a:spLocks/>
          </xdr:cNvSpPr>
        </xdr:nvSpPr>
        <xdr:spPr>
          <a:xfrm>
            <a:off x="156" y="376"/>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491"/>
          <xdr:cNvSpPr>
            <a:spLocks/>
          </xdr:cNvSpPr>
        </xdr:nvSpPr>
        <xdr:spPr>
          <a:xfrm>
            <a:off x="156" y="406"/>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0</xdr:row>
      <xdr:rowOff>0</xdr:rowOff>
    </xdr:from>
    <xdr:to>
      <xdr:col>11</xdr:col>
      <xdr:colOff>333375</xdr:colOff>
      <xdr:row>0</xdr:row>
      <xdr:rowOff>0</xdr:rowOff>
    </xdr:to>
    <xdr:grpSp>
      <xdr:nvGrpSpPr>
        <xdr:cNvPr id="222" name="Group 495"/>
        <xdr:cNvGrpSpPr>
          <a:grpSpLocks/>
        </xdr:cNvGrpSpPr>
      </xdr:nvGrpSpPr>
      <xdr:grpSpPr>
        <a:xfrm>
          <a:off x="1485900" y="0"/>
          <a:ext cx="3962400" cy="0"/>
          <a:chOff x="156" y="973"/>
          <a:chExt cx="416" cy="299"/>
        </a:xfrm>
        <a:solidFill>
          <a:srgbClr val="FFFFFF"/>
        </a:solidFill>
      </xdr:grpSpPr>
      <xdr:grpSp>
        <xdr:nvGrpSpPr>
          <xdr:cNvPr id="223" name="Group 202"/>
          <xdr:cNvGrpSpPr>
            <a:grpSpLocks/>
          </xdr:cNvGrpSpPr>
        </xdr:nvGrpSpPr>
        <xdr:grpSpPr>
          <a:xfrm>
            <a:off x="156" y="973"/>
            <a:ext cx="415" cy="299"/>
            <a:chOff x="1101" y="146"/>
            <a:chExt cx="415" cy="299"/>
          </a:xfrm>
          <a:solidFill>
            <a:srgbClr val="FFFFFF"/>
          </a:solidFill>
        </xdr:grpSpPr>
        <xdr:sp>
          <xdr:nvSpPr>
            <xdr:cNvPr id="224" name="Rectangle 203"/>
            <xdr:cNvSpPr>
              <a:spLocks/>
            </xdr:cNvSpPr>
          </xdr:nvSpPr>
          <xdr:spPr>
            <a:xfrm>
              <a:off x="1101" y="332"/>
              <a:ext cx="415"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04"/>
            <xdr:cNvSpPr>
              <a:spLocks/>
            </xdr:cNvSpPr>
          </xdr:nvSpPr>
          <xdr:spPr>
            <a:xfrm flipV="1">
              <a:off x="1133" y="238"/>
              <a:ext cx="95" cy="164"/>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05"/>
            <xdr:cNvSpPr>
              <a:spLocks/>
            </xdr:cNvSpPr>
          </xdr:nvSpPr>
          <xdr:spPr>
            <a:xfrm flipV="1">
              <a:off x="1156" y="238"/>
              <a:ext cx="9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06"/>
            <xdr:cNvSpPr>
              <a:spLocks/>
            </xdr:cNvSpPr>
          </xdr:nvSpPr>
          <xdr:spPr>
            <a:xfrm flipV="1">
              <a:off x="1226" y="238"/>
              <a:ext cx="97" cy="162"/>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07"/>
            <xdr:cNvSpPr>
              <a:spLocks/>
            </xdr:cNvSpPr>
          </xdr:nvSpPr>
          <xdr:spPr>
            <a:xfrm>
              <a:off x="1344" y="238"/>
              <a:ext cx="85"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08"/>
            <xdr:cNvSpPr>
              <a:spLocks/>
            </xdr:cNvSpPr>
          </xdr:nvSpPr>
          <xdr:spPr>
            <a:xfrm>
              <a:off x="1312" y="238"/>
              <a:ext cx="84" cy="159"/>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09"/>
            <xdr:cNvSpPr>
              <a:spLocks/>
            </xdr:cNvSpPr>
          </xdr:nvSpPr>
          <xdr:spPr>
            <a:xfrm>
              <a:off x="1250" y="238"/>
              <a:ext cx="83" cy="161"/>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10"/>
            <xdr:cNvSpPr>
              <a:spLocks/>
            </xdr:cNvSpPr>
          </xdr:nvSpPr>
          <xdr:spPr>
            <a:xfrm>
              <a:off x="1173"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Line 211"/>
            <xdr:cNvSpPr>
              <a:spLocks/>
            </xdr:cNvSpPr>
          </xdr:nvSpPr>
          <xdr:spPr>
            <a:xfrm>
              <a:off x="1395" y="4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Line 212"/>
            <xdr:cNvSpPr>
              <a:spLocks/>
            </xdr:cNvSpPr>
          </xdr:nvSpPr>
          <xdr:spPr>
            <a:xfrm>
              <a:off x="1175" y="429"/>
              <a:ext cx="21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Rectangle 213"/>
            <xdr:cNvSpPr>
              <a:spLocks/>
            </xdr:cNvSpPr>
          </xdr:nvSpPr>
          <xdr:spPr>
            <a:xfrm>
              <a:off x="1256" y="147"/>
              <a:ext cx="58" cy="9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Rectangle 214"/>
            <xdr:cNvSpPr>
              <a:spLocks/>
            </xdr:cNvSpPr>
          </xdr:nvSpPr>
          <xdr:spPr>
            <a:xfrm>
              <a:off x="1226"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Rectangle 215"/>
            <xdr:cNvSpPr>
              <a:spLocks/>
            </xdr:cNvSpPr>
          </xdr:nvSpPr>
          <xdr:spPr>
            <a:xfrm>
              <a:off x="1319" y="146"/>
              <a:ext cx="25" cy="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16"/>
            <xdr:cNvSpPr>
              <a:spLocks/>
            </xdr:cNvSpPr>
          </xdr:nvSpPr>
          <xdr:spPr>
            <a:xfrm>
              <a:off x="1228" y="192"/>
              <a:ext cx="1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17"/>
            <xdr:cNvSpPr>
              <a:spLocks/>
            </xdr:cNvSpPr>
          </xdr:nvSpPr>
          <xdr:spPr>
            <a:xfrm>
              <a:off x="1102" y="33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18"/>
            <xdr:cNvSpPr>
              <a:spLocks/>
            </xdr:cNvSpPr>
          </xdr:nvSpPr>
          <xdr:spPr>
            <a:xfrm>
              <a:off x="1102" y="339"/>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19"/>
            <xdr:cNvSpPr>
              <a:spLocks/>
            </xdr:cNvSpPr>
          </xdr:nvSpPr>
          <xdr:spPr>
            <a:xfrm>
              <a:off x="1102" y="345"/>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20"/>
            <xdr:cNvSpPr>
              <a:spLocks/>
            </xdr:cNvSpPr>
          </xdr:nvSpPr>
          <xdr:spPr>
            <a:xfrm>
              <a:off x="1102" y="35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2" name="Line 221"/>
            <xdr:cNvSpPr>
              <a:spLocks/>
            </xdr:cNvSpPr>
          </xdr:nvSpPr>
          <xdr:spPr>
            <a:xfrm>
              <a:off x="1102" y="35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3" name="Line 222"/>
            <xdr:cNvSpPr>
              <a:spLocks/>
            </xdr:cNvSpPr>
          </xdr:nvSpPr>
          <xdr:spPr>
            <a:xfrm>
              <a:off x="1102" y="36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23"/>
            <xdr:cNvSpPr>
              <a:spLocks/>
            </xdr:cNvSpPr>
          </xdr:nvSpPr>
          <xdr:spPr>
            <a:xfrm>
              <a:off x="1102" y="370"/>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24"/>
            <xdr:cNvSpPr>
              <a:spLocks/>
            </xdr:cNvSpPr>
          </xdr:nvSpPr>
          <xdr:spPr>
            <a:xfrm>
              <a:off x="1102" y="37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25"/>
            <xdr:cNvSpPr>
              <a:spLocks/>
            </xdr:cNvSpPr>
          </xdr:nvSpPr>
          <xdr:spPr>
            <a:xfrm>
              <a:off x="1102" y="38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26"/>
            <xdr:cNvSpPr>
              <a:spLocks/>
            </xdr:cNvSpPr>
          </xdr:nvSpPr>
          <xdr:spPr>
            <a:xfrm>
              <a:off x="1102" y="386"/>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27"/>
            <xdr:cNvSpPr>
              <a:spLocks/>
            </xdr:cNvSpPr>
          </xdr:nvSpPr>
          <xdr:spPr>
            <a:xfrm>
              <a:off x="1102" y="391"/>
              <a:ext cx="4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49" name="Line 493"/>
          <xdr:cNvSpPr>
            <a:spLocks/>
          </xdr:cNvSpPr>
        </xdr:nvSpPr>
        <xdr:spPr>
          <a:xfrm>
            <a:off x="157" y="1192"/>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494"/>
          <xdr:cNvSpPr>
            <a:spLocks/>
          </xdr:cNvSpPr>
        </xdr:nvSpPr>
        <xdr:spPr>
          <a:xfrm>
            <a:off x="157" y="1222"/>
            <a:ext cx="4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21</xdr:row>
      <xdr:rowOff>123825</xdr:rowOff>
    </xdr:from>
    <xdr:to>
      <xdr:col>8</xdr:col>
      <xdr:colOff>0</xdr:colOff>
      <xdr:row>22</xdr:row>
      <xdr:rowOff>57150</xdr:rowOff>
    </xdr:to>
    <xdr:sp>
      <xdr:nvSpPr>
        <xdr:cNvPr id="251" name="Line 496"/>
        <xdr:cNvSpPr>
          <a:spLocks/>
        </xdr:cNvSpPr>
      </xdr:nvSpPr>
      <xdr:spPr>
        <a:xfrm flipV="1">
          <a:off x="3352800" y="4467225"/>
          <a:ext cx="3619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86</xdr:row>
      <xdr:rowOff>104775</xdr:rowOff>
    </xdr:from>
    <xdr:to>
      <xdr:col>8</xdr:col>
      <xdr:colOff>0</xdr:colOff>
      <xdr:row>87</xdr:row>
      <xdr:rowOff>38100</xdr:rowOff>
    </xdr:to>
    <xdr:sp>
      <xdr:nvSpPr>
        <xdr:cNvPr id="252" name="Line 497"/>
        <xdr:cNvSpPr>
          <a:spLocks/>
        </xdr:cNvSpPr>
      </xdr:nvSpPr>
      <xdr:spPr>
        <a:xfrm flipV="1">
          <a:off x="3352800" y="19421475"/>
          <a:ext cx="3619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151</xdr:row>
      <xdr:rowOff>142875</xdr:rowOff>
    </xdr:from>
    <xdr:to>
      <xdr:col>8</xdr:col>
      <xdr:colOff>0</xdr:colOff>
      <xdr:row>152</xdr:row>
      <xdr:rowOff>76200</xdr:rowOff>
    </xdr:to>
    <xdr:sp>
      <xdr:nvSpPr>
        <xdr:cNvPr id="253" name="Line 498"/>
        <xdr:cNvSpPr>
          <a:spLocks/>
        </xdr:cNvSpPr>
      </xdr:nvSpPr>
      <xdr:spPr>
        <a:xfrm flipV="1">
          <a:off x="3352800" y="34413825"/>
          <a:ext cx="3619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45</xdr:row>
      <xdr:rowOff>9525</xdr:rowOff>
    </xdr:from>
    <xdr:to>
      <xdr:col>6</xdr:col>
      <xdr:colOff>228600</xdr:colOff>
      <xdr:row>45</xdr:row>
      <xdr:rowOff>9525</xdr:rowOff>
    </xdr:to>
    <xdr:sp>
      <xdr:nvSpPr>
        <xdr:cNvPr id="254" name="Line 500"/>
        <xdr:cNvSpPr>
          <a:spLocks/>
        </xdr:cNvSpPr>
      </xdr:nvSpPr>
      <xdr:spPr>
        <a:xfrm>
          <a:off x="2143125" y="91535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45</xdr:row>
      <xdr:rowOff>9525</xdr:rowOff>
    </xdr:from>
    <xdr:to>
      <xdr:col>10</xdr:col>
      <xdr:colOff>200025</xdr:colOff>
      <xdr:row>45</xdr:row>
      <xdr:rowOff>9525</xdr:rowOff>
    </xdr:to>
    <xdr:sp>
      <xdr:nvSpPr>
        <xdr:cNvPr id="255" name="Line 501"/>
        <xdr:cNvSpPr>
          <a:spLocks/>
        </xdr:cNvSpPr>
      </xdr:nvSpPr>
      <xdr:spPr>
        <a:xfrm>
          <a:off x="3981450" y="91535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23</xdr:row>
      <xdr:rowOff>66675</xdr:rowOff>
    </xdr:from>
    <xdr:to>
      <xdr:col>10</xdr:col>
      <xdr:colOff>428625</xdr:colOff>
      <xdr:row>24</xdr:row>
      <xdr:rowOff>76200</xdr:rowOff>
    </xdr:to>
    <xdr:sp>
      <xdr:nvSpPr>
        <xdr:cNvPr id="256" name="Rectangle 502" descr="れんが (斜め)"/>
        <xdr:cNvSpPr>
          <a:spLocks/>
        </xdr:cNvSpPr>
      </xdr:nvSpPr>
      <xdr:spPr>
        <a:xfrm>
          <a:off x="4600575" y="4810125"/>
          <a:ext cx="476250" cy="20955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88</xdr:row>
      <xdr:rowOff>38100</xdr:rowOff>
    </xdr:from>
    <xdr:to>
      <xdr:col>10</xdr:col>
      <xdr:colOff>428625</xdr:colOff>
      <xdr:row>89</xdr:row>
      <xdr:rowOff>47625</xdr:rowOff>
    </xdr:to>
    <xdr:sp>
      <xdr:nvSpPr>
        <xdr:cNvPr id="257" name="Rectangle 503" descr="れんが (斜め)"/>
        <xdr:cNvSpPr>
          <a:spLocks/>
        </xdr:cNvSpPr>
      </xdr:nvSpPr>
      <xdr:spPr>
        <a:xfrm>
          <a:off x="4600575" y="19754850"/>
          <a:ext cx="476250" cy="20955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110</xdr:row>
      <xdr:rowOff>0</xdr:rowOff>
    </xdr:from>
    <xdr:to>
      <xdr:col>6</xdr:col>
      <xdr:colOff>190500</xdr:colOff>
      <xdr:row>110</xdr:row>
      <xdr:rowOff>0</xdr:rowOff>
    </xdr:to>
    <xdr:sp>
      <xdr:nvSpPr>
        <xdr:cNvPr id="258" name="Line 504"/>
        <xdr:cNvSpPr>
          <a:spLocks/>
        </xdr:cNvSpPr>
      </xdr:nvSpPr>
      <xdr:spPr>
        <a:xfrm>
          <a:off x="2124075" y="241173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110</xdr:row>
      <xdr:rowOff>0</xdr:rowOff>
    </xdr:from>
    <xdr:to>
      <xdr:col>10</xdr:col>
      <xdr:colOff>180975</xdr:colOff>
      <xdr:row>110</xdr:row>
      <xdr:rowOff>0</xdr:rowOff>
    </xdr:to>
    <xdr:sp>
      <xdr:nvSpPr>
        <xdr:cNvPr id="259" name="Line 505"/>
        <xdr:cNvSpPr>
          <a:spLocks/>
        </xdr:cNvSpPr>
      </xdr:nvSpPr>
      <xdr:spPr>
        <a:xfrm>
          <a:off x="3981450" y="241173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174</xdr:row>
      <xdr:rowOff>190500</xdr:rowOff>
    </xdr:from>
    <xdr:to>
      <xdr:col>6</xdr:col>
      <xdr:colOff>304800</xdr:colOff>
      <xdr:row>174</xdr:row>
      <xdr:rowOff>190500</xdr:rowOff>
    </xdr:to>
    <xdr:sp>
      <xdr:nvSpPr>
        <xdr:cNvPr id="260" name="Line 506"/>
        <xdr:cNvSpPr>
          <a:spLocks/>
        </xdr:cNvSpPr>
      </xdr:nvSpPr>
      <xdr:spPr>
        <a:xfrm>
          <a:off x="2105025" y="390620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174</xdr:row>
      <xdr:rowOff>190500</xdr:rowOff>
    </xdr:from>
    <xdr:to>
      <xdr:col>10</xdr:col>
      <xdr:colOff>238125</xdr:colOff>
      <xdr:row>174</xdr:row>
      <xdr:rowOff>190500</xdr:rowOff>
    </xdr:to>
    <xdr:sp>
      <xdr:nvSpPr>
        <xdr:cNvPr id="261" name="Line 507"/>
        <xdr:cNvSpPr>
          <a:spLocks/>
        </xdr:cNvSpPr>
      </xdr:nvSpPr>
      <xdr:spPr>
        <a:xfrm>
          <a:off x="3905250" y="390620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153</xdr:row>
      <xdr:rowOff>28575</xdr:rowOff>
    </xdr:from>
    <xdr:to>
      <xdr:col>10</xdr:col>
      <xdr:colOff>428625</xdr:colOff>
      <xdr:row>154</xdr:row>
      <xdr:rowOff>38100</xdr:rowOff>
    </xdr:to>
    <xdr:sp>
      <xdr:nvSpPr>
        <xdr:cNvPr id="262" name="Rectangle 508" descr="れんが (斜め)"/>
        <xdr:cNvSpPr>
          <a:spLocks/>
        </xdr:cNvSpPr>
      </xdr:nvSpPr>
      <xdr:spPr>
        <a:xfrm>
          <a:off x="4600575" y="34699575"/>
          <a:ext cx="476250" cy="209550"/>
        </a:xfrm>
        <a:prstGeom prst="rect">
          <a:avLst/>
        </a:prstGeom>
        <a:pattFill prst="diagBrick">
          <a:fgClr>
            <a:srgbClr val="000000"/>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2</xdr:row>
      <xdr:rowOff>133350</xdr:rowOff>
    </xdr:from>
    <xdr:to>
      <xdr:col>14</xdr:col>
      <xdr:colOff>95250</xdr:colOff>
      <xdr:row>16</xdr:row>
      <xdr:rowOff>0</xdr:rowOff>
    </xdr:to>
    <xdr:grpSp>
      <xdr:nvGrpSpPr>
        <xdr:cNvPr id="1" name="Group 19"/>
        <xdr:cNvGrpSpPr>
          <a:grpSpLocks/>
        </xdr:cNvGrpSpPr>
      </xdr:nvGrpSpPr>
      <xdr:grpSpPr>
        <a:xfrm>
          <a:off x="5286375" y="714375"/>
          <a:ext cx="2619375" cy="3200400"/>
          <a:chOff x="555" y="75"/>
          <a:chExt cx="275" cy="336"/>
        </a:xfrm>
        <a:solidFill>
          <a:srgbClr val="FFFFFF"/>
        </a:solidFill>
      </xdr:grpSpPr>
      <xdr:sp>
        <xdr:nvSpPr>
          <xdr:cNvPr id="2" name="Line 2"/>
          <xdr:cNvSpPr>
            <a:spLocks/>
          </xdr:cNvSpPr>
        </xdr:nvSpPr>
        <xdr:spPr>
          <a:xfrm>
            <a:off x="555" y="87"/>
            <a:ext cx="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55" y="410"/>
            <a:ext cx="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26" y="311"/>
            <a:ext cx="2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685" y="75"/>
            <a:ext cx="22" cy="3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66" y="111"/>
            <a:ext cx="60"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690" y="132"/>
            <a:ext cx="13" cy="17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577" y="87"/>
            <a:ext cx="0" cy="323"/>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757" y="87"/>
            <a:ext cx="0" cy="22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757" y="311"/>
            <a:ext cx="0" cy="9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flipH="1">
            <a:off x="633" y="310"/>
            <a:ext cx="58" cy="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703" y="311"/>
            <a:ext cx="48" cy="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4"/>
          <xdr:cNvSpPr>
            <a:spLocks/>
          </xdr:cNvSpPr>
        </xdr:nvSpPr>
        <xdr:spPr>
          <a:xfrm rot="10800000">
            <a:off x="794" y="397"/>
            <a:ext cx="14" cy="12"/>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15"/>
          <xdr:cNvSpPr>
            <a:spLocks/>
          </xdr:cNvSpPr>
        </xdr:nvSpPr>
        <xdr:spPr>
          <a:xfrm rot="10800000">
            <a:off x="794" y="299"/>
            <a:ext cx="14" cy="12"/>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571500</xdr:colOff>
      <xdr:row>17</xdr:row>
      <xdr:rowOff>0</xdr:rowOff>
    </xdr:from>
    <xdr:to>
      <xdr:col>13</xdr:col>
      <xdr:colOff>447675</xdr:colOff>
      <xdr:row>19</xdr:row>
      <xdr:rowOff>85725</xdr:rowOff>
    </xdr:to>
    <xdr:sp>
      <xdr:nvSpPr>
        <xdr:cNvPr id="15" name="Rectangle 16"/>
        <xdr:cNvSpPr>
          <a:spLocks/>
        </xdr:cNvSpPr>
      </xdr:nvSpPr>
      <xdr:spPr>
        <a:xfrm>
          <a:off x="5867400" y="4152900"/>
          <a:ext cx="18002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19</xdr:row>
      <xdr:rowOff>38100</xdr:rowOff>
    </xdr:from>
    <xdr:to>
      <xdr:col>13</xdr:col>
      <xdr:colOff>114300</xdr:colOff>
      <xdr:row>19</xdr:row>
      <xdr:rowOff>209550</xdr:rowOff>
    </xdr:to>
    <xdr:sp>
      <xdr:nvSpPr>
        <xdr:cNvPr id="16" name="Line 17"/>
        <xdr:cNvSpPr>
          <a:spLocks/>
        </xdr:cNvSpPr>
      </xdr:nvSpPr>
      <xdr:spPr>
        <a:xfrm>
          <a:off x="6943725" y="4667250"/>
          <a:ext cx="390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19</xdr:row>
      <xdr:rowOff>38100</xdr:rowOff>
    </xdr:from>
    <xdr:to>
      <xdr:col>4</xdr:col>
      <xdr:colOff>104775</xdr:colOff>
      <xdr:row>20</xdr:row>
      <xdr:rowOff>114300</xdr:rowOff>
    </xdr:to>
    <xdr:sp>
      <xdr:nvSpPr>
        <xdr:cNvPr id="17" name="Line 18"/>
        <xdr:cNvSpPr>
          <a:spLocks/>
        </xdr:cNvSpPr>
      </xdr:nvSpPr>
      <xdr:spPr>
        <a:xfrm flipV="1">
          <a:off x="1809750" y="4667250"/>
          <a:ext cx="2000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M25" sqref="M25"/>
    </sheetView>
  </sheetViews>
  <sheetFormatPr defaultColWidth="9.00390625" defaultRowHeight="14.25"/>
  <sheetData>
    <row r="1" ht="14.25">
      <c r="A1" t="s">
        <v>252</v>
      </c>
    </row>
    <row r="3" ht="14.25">
      <c r="B3" t="s">
        <v>253</v>
      </c>
    </row>
    <row r="5" ht="14.25">
      <c r="B5" t="s">
        <v>254</v>
      </c>
    </row>
    <row r="7" ht="14.25">
      <c r="B7" t="s">
        <v>255</v>
      </c>
    </row>
    <row r="9" ht="14.25">
      <c r="B9" t="s">
        <v>256</v>
      </c>
    </row>
    <row r="11" ht="14.25">
      <c r="B11" t="s">
        <v>257</v>
      </c>
    </row>
  </sheetData>
  <sheetProtection/>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V73"/>
  <sheetViews>
    <sheetView showOutlineSymbols="0" zoomScale="75" zoomScaleNormal="75" zoomScalePageLayoutView="0" workbookViewId="0" topLeftCell="C1">
      <selection activeCell="I70" sqref="I70"/>
    </sheetView>
  </sheetViews>
  <sheetFormatPr defaultColWidth="10.75390625" defaultRowHeight="14.25"/>
  <cols>
    <col min="1" max="1" width="5.125" style="14" customWidth="1"/>
    <col min="2" max="2" width="6.875" style="14" customWidth="1"/>
    <col min="3" max="21" width="6.125" style="14" customWidth="1"/>
    <col min="22" max="22" width="6.875" style="14" customWidth="1"/>
    <col min="23" max="23" width="5.50390625" style="14" customWidth="1"/>
    <col min="24" max="16384" width="10.75390625" style="14" customWidth="1"/>
  </cols>
  <sheetData>
    <row r="1" ht="18.75" customHeight="1" thickBot="1"/>
    <row r="2" spans="3:21" ht="27" customHeight="1" thickBot="1" thickTop="1">
      <c r="C2" s="136" t="s">
        <v>243</v>
      </c>
      <c r="D2" s="136"/>
      <c r="E2" s="136"/>
      <c r="F2" s="136"/>
      <c r="G2" s="137"/>
      <c r="H2" s="138" t="s">
        <v>16</v>
      </c>
      <c r="I2" s="136"/>
      <c r="J2" s="136"/>
      <c r="K2" s="136"/>
      <c r="L2" s="136"/>
      <c r="M2" s="136"/>
      <c r="N2" s="136"/>
      <c r="O2" s="136"/>
      <c r="P2" s="136"/>
      <c r="Q2" s="136"/>
      <c r="R2" s="136"/>
      <c r="S2" s="136"/>
      <c r="T2" s="136"/>
      <c r="U2" s="136"/>
    </row>
    <row r="3" spans="3:21" ht="18.75" customHeight="1" thickTop="1">
      <c r="C3" s="3"/>
      <c r="D3" s="3"/>
      <c r="E3" s="3"/>
      <c r="F3" s="3"/>
      <c r="G3" s="4" t="s">
        <v>17</v>
      </c>
      <c r="H3" s="3"/>
      <c r="I3" s="3"/>
      <c r="J3" s="3"/>
      <c r="K3" s="4" t="s">
        <v>4</v>
      </c>
      <c r="L3" s="3"/>
      <c r="M3" s="3"/>
      <c r="N3" s="3"/>
      <c r="O3" s="3"/>
      <c r="P3" s="4" t="s">
        <v>3</v>
      </c>
      <c r="Q3" s="3"/>
      <c r="R3" s="3"/>
      <c r="S3" s="3"/>
      <c r="T3" s="3"/>
      <c r="U3" s="3"/>
    </row>
    <row r="4" spans="5:17" ht="18.75" customHeight="1">
      <c r="E4" s="1" t="s">
        <v>18</v>
      </c>
      <c r="G4" s="21">
        <v>4</v>
      </c>
      <c r="H4" s="22" t="s">
        <v>19</v>
      </c>
      <c r="K4" s="21">
        <v>850</v>
      </c>
      <c r="L4" s="23" t="s">
        <v>20</v>
      </c>
      <c r="N4" s="14" t="s">
        <v>21</v>
      </c>
      <c r="P4" s="24">
        <v>3.5</v>
      </c>
      <c r="Q4" s="25" t="s">
        <v>7</v>
      </c>
    </row>
    <row r="5" spans="7:16" ht="18.75" customHeight="1">
      <c r="G5" s="9"/>
      <c r="K5" s="9"/>
      <c r="P5" s="9"/>
    </row>
    <row r="6" spans="3:14" ht="18.75" customHeight="1">
      <c r="C6" s="14" t="s">
        <v>22</v>
      </c>
      <c r="L6" s="26" t="s">
        <v>23</v>
      </c>
      <c r="N6" s="26" t="s">
        <v>24</v>
      </c>
    </row>
    <row r="7" spans="3:16" ht="18.75" customHeight="1">
      <c r="C7" s="14" t="s">
        <v>25</v>
      </c>
      <c r="G7" s="27" t="s">
        <v>26</v>
      </c>
      <c r="H7" s="27"/>
      <c r="J7" s="1" t="s">
        <v>27</v>
      </c>
      <c r="L7" s="21">
        <v>2.1</v>
      </c>
      <c r="M7" s="25" t="s">
        <v>28</v>
      </c>
      <c r="N7" s="21">
        <v>2.1</v>
      </c>
      <c r="O7" s="25" t="s">
        <v>7</v>
      </c>
      <c r="P7" s="28" t="s">
        <v>29</v>
      </c>
    </row>
    <row r="8" spans="2:16" ht="18.75" customHeight="1">
      <c r="B8" s="29" t="s">
        <v>244</v>
      </c>
      <c r="C8" s="21">
        <v>1</v>
      </c>
      <c r="D8" s="19" t="str">
        <f>IF(C8=2,"場所打ち杭",IF(C8=1,"杭基礎",""))</f>
        <v>杭基礎</v>
      </c>
      <c r="E8" s="9"/>
      <c r="F8" s="30"/>
      <c r="L8" s="9"/>
      <c r="N8" s="16" t="s">
        <v>8</v>
      </c>
      <c r="P8" s="28" t="s">
        <v>31</v>
      </c>
    </row>
    <row r="9" spans="3:15" ht="18.75" customHeight="1">
      <c r="C9" s="9"/>
      <c r="D9" s="9"/>
      <c r="E9" s="9"/>
      <c r="K9" s="1" t="s">
        <v>32</v>
      </c>
      <c r="N9" s="21">
        <v>15</v>
      </c>
      <c r="O9" s="25" t="s">
        <v>7</v>
      </c>
    </row>
    <row r="10" ht="18.75" customHeight="1">
      <c r="N10" s="9"/>
    </row>
    <row r="11" spans="18:22" ht="18.75" customHeight="1">
      <c r="R11" s="31" t="s">
        <v>33</v>
      </c>
      <c r="V11" s="14" t="s">
        <v>33</v>
      </c>
    </row>
    <row r="12" ht="18.75" customHeight="1">
      <c r="N12" s="14" t="s">
        <v>34</v>
      </c>
    </row>
    <row r="13" spans="11:15" ht="18.75" customHeight="1">
      <c r="K13" s="1" t="s">
        <v>35</v>
      </c>
      <c r="N13" s="21">
        <v>18</v>
      </c>
      <c r="O13" s="25" t="s">
        <v>7</v>
      </c>
    </row>
    <row r="14" spans="14:17" ht="18.75" customHeight="1">
      <c r="N14" s="9"/>
      <c r="Q14" s="26" t="s">
        <v>36</v>
      </c>
    </row>
    <row r="15" ht="18.75" customHeight="1">
      <c r="T15" s="26" t="s">
        <v>36</v>
      </c>
    </row>
    <row r="16" spans="16:22" ht="18.75" customHeight="1">
      <c r="P16" s="32" t="s">
        <v>37</v>
      </c>
      <c r="Q16" s="27"/>
      <c r="R16" s="27"/>
      <c r="S16" s="32" t="s">
        <v>38</v>
      </c>
      <c r="T16" s="27"/>
      <c r="U16" s="27"/>
      <c r="V16" s="27"/>
    </row>
    <row r="17" spans="16:21" ht="18.75" customHeight="1">
      <c r="P17" s="26"/>
      <c r="Q17" s="13"/>
      <c r="T17" s="26"/>
      <c r="U17" s="13"/>
    </row>
    <row r="18" spans="16:20" ht="18.75" customHeight="1">
      <c r="P18" s="33"/>
      <c r="Q18" s="33"/>
      <c r="T18" s="13"/>
    </row>
    <row r="19" spans="7:13" ht="18.75" customHeight="1">
      <c r="G19" s="1" t="s">
        <v>39</v>
      </c>
      <c r="L19" s="34">
        <f>IF(L7="","",ROUND(L7+(N13-N9),1))</f>
        <v>5.1</v>
      </c>
      <c r="M19" s="25" t="s">
        <v>7</v>
      </c>
    </row>
    <row r="20" spans="12:20" ht="18.75" customHeight="1">
      <c r="L20" s="16" t="s">
        <v>12</v>
      </c>
      <c r="T20" s="35"/>
    </row>
    <row r="21" spans="5:16" ht="18.75" customHeight="1">
      <c r="E21" s="1" t="s">
        <v>40</v>
      </c>
      <c r="L21" s="36">
        <f>IF(N7="","",ROUND(1+0.2*(L7/N7),1))</f>
        <v>1.2</v>
      </c>
      <c r="M21" s="30"/>
      <c r="P21" s="14" t="s">
        <v>13</v>
      </c>
    </row>
    <row r="22" spans="5:17" ht="18.75" customHeight="1">
      <c r="E22" s="1" t="s">
        <v>41</v>
      </c>
      <c r="L22" s="21">
        <v>10</v>
      </c>
      <c r="M22" s="41" t="s">
        <v>245</v>
      </c>
      <c r="O22" s="14" t="s">
        <v>246</v>
      </c>
      <c r="P22" s="21">
        <v>18</v>
      </c>
      <c r="Q22" s="41" t="s">
        <v>247</v>
      </c>
    </row>
    <row r="23" spans="5:17" ht="18.75" customHeight="1">
      <c r="E23" s="1" t="s">
        <v>42</v>
      </c>
      <c r="L23" s="21">
        <v>144</v>
      </c>
      <c r="M23" s="41" t="s">
        <v>248</v>
      </c>
      <c r="O23" s="26" t="s">
        <v>43</v>
      </c>
      <c r="P23" s="36">
        <f>ROUND(L23/2,1)</f>
        <v>72</v>
      </c>
      <c r="Q23" s="41" t="s">
        <v>248</v>
      </c>
    </row>
    <row r="24" spans="5:17" ht="18.75" customHeight="1">
      <c r="E24" s="1" t="s">
        <v>44</v>
      </c>
      <c r="L24" s="9"/>
      <c r="O24" s="26" t="s">
        <v>45</v>
      </c>
      <c r="P24" s="11"/>
      <c r="Q24" s="41" t="s">
        <v>248</v>
      </c>
    </row>
    <row r="25" spans="4:17" ht="18.75" customHeight="1">
      <c r="D25" s="1"/>
      <c r="E25" s="1" t="s">
        <v>46</v>
      </c>
      <c r="K25" s="1"/>
      <c r="M25" s="1"/>
      <c r="O25" s="26" t="s">
        <v>47</v>
      </c>
      <c r="P25" s="11">
        <v>72</v>
      </c>
      <c r="Q25" s="37" t="s">
        <v>249</v>
      </c>
    </row>
    <row r="26" spans="4:17" ht="18.75" customHeight="1">
      <c r="D26" s="1" t="s">
        <v>48</v>
      </c>
      <c r="P26" s="9"/>
      <c r="Q26" s="14" t="s">
        <v>14</v>
      </c>
    </row>
    <row r="27" spans="8:20" ht="18.75" customHeight="1">
      <c r="H27" s="1" t="s">
        <v>49</v>
      </c>
      <c r="Q27" s="19">
        <f>IF(N7="","",ROUND((1/3)*(1+(N13-N9)/L7)*(1+(N13-N9)/N7)*(5.3*L21*P25+3*P22*P4+3*L22*(N9-P4)),1))</f>
        <v>1950.1</v>
      </c>
      <c r="R27" s="41" t="s">
        <v>248</v>
      </c>
      <c r="S27" s="1"/>
      <c r="T27" s="1" t="s">
        <v>0</v>
      </c>
    </row>
    <row r="28" spans="3:20" ht="18.75" customHeight="1">
      <c r="C28" s="1" t="s">
        <v>50</v>
      </c>
      <c r="D28" s="1"/>
      <c r="L28" s="31" t="s">
        <v>15</v>
      </c>
      <c r="M28" s="36">
        <f>IF(L7="","",IF(C8=2,"",ROUND(G4*K4/(L7*N7),1)))</f>
        <v>771</v>
      </c>
      <c r="N28" s="41" t="s">
        <v>250</v>
      </c>
      <c r="Q28" s="9"/>
      <c r="T28" s="1" t="s">
        <v>1</v>
      </c>
    </row>
    <row r="29" spans="3:20" ht="18.75" customHeight="1">
      <c r="C29" s="1" t="s">
        <v>51</v>
      </c>
      <c r="D29" s="1"/>
      <c r="M29" s="36">
        <f>IF(L7="","",IF(C8=1,"",ROUND(G4*K4*4/(L7*N7*3.14),1)))</f>
      </c>
      <c r="N29" s="41" t="s">
        <v>251</v>
      </c>
      <c r="T29" s="1" t="s">
        <v>1</v>
      </c>
    </row>
    <row r="30" ht="18.75" customHeight="1">
      <c r="M30" s="9"/>
    </row>
    <row r="31" spans="4:22" ht="18.75" customHeight="1">
      <c r="D31" s="26" t="s">
        <v>0</v>
      </c>
      <c r="E31" s="36" t="str">
        <f>IF(Q27="","",IF(Q27&gt;=MAX(M29,M28),"≧","＜"))</f>
        <v>≧</v>
      </c>
      <c r="F31" s="25" t="s">
        <v>1</v>
      </c>
      <c r="G31" s="26"/>
      <c r="H31" s="19" t="str">
        <f>IF(Q27="","",IF(Q27&gt;=MAX(M28,M29),"支持層下の粘性土層の支持力が杭先端部の支持力より大きい故問題有りません","粘性土層の支持力以下故杭耐力低減して下さい"))</f>
        <v>支持層下の粘性土層の支持力が杭先端部の支持力より大きい故問題有りません</v>
      </c>
      <c r="I31" s="38"/>
      <c r="J31" s="16"/>
      <c r="K31" s="9"/>
      <c r="L31" s="9"/>
      <c r="M31" s="9"/>
      <c r="N31" s="9"/>
      <c r="O31" s="9"/>
      <c r="P31" s="9"/>
      <c r="Q31" s="9"/>
      <c r="R31" s="9"/>
      <c r="S31" s="9"/>
      <c r="T31" s="9"/>
      <c r="U31" s="9"/>
      <c r="V31" s="30"/>
    </row>
    <row r="32" spans="5:21" ht="18.75" customHeight="1">
      <c r="E32" s="9"/>
      <c r="H32" s="9"/>
      <c r="I32" s="9"/>
      <c r="J32" s="9"/>
      <c r="K32" s="9"/>
      <c r="L32" s="9"/>
      <c r="M32" s="9"/>
      <c r="N32" s="9"/>
      <c r="O32" s="9"/>
      <c r="P32" s="9"/>
      <c r="Q32" s="9"/>
      <c r="R32" s="9"/>
      <c r="S32" s="9"/>
      <c r="T32" s="9"/>
      <c r="U32" s="9"/>
    </row>
    <row r="33" ht="18.75" customHeight="1" thickBot="1"/>
    <row r="34" spans="3:21" ht="27" customHeight="1" thickBot="1" thickTop="1">
      <c r="C34" s="136" t="s">
        <v>243</v>
      </c>
      <c r="D34" s="136"/>
      <c r="E34" s="136"/>
      <c r="F34" s="136"/>
      <c r="G34" s="137"/>
      <c r="H34" s="138" t="s">
        <v>52</v>
      </c>
      <c r="I34" s="136"/>
      <c r="J34" s="136"/>
      <c r="K34" s="136"/>
      <c r="L34" s="136"/>
      <c r="M34" s="136"/>
      <c r="N34" s="136"/>
      <c r="O34" s="136"/>
      <c r="P34" s="136"/>
      <c r="Q34" s="136"/>
      <c r="R34" s="136"/>
      <c r="S34" s="136"/>
      <c r="T34" s="136"/>
      <c r="U34" s="136"/>
    </row>
    <row r="35" spans="3:21" ht="18.75" customHeight="1" thickTop="1">
      <c r="C35" s="3"/>
      <c r="D35" s="3"/>
      <c r="E35" s="3"/>
      <c r="F35" s="3"/>
      <c r="G35" s="4" t="s">
        <v>17</v>
      </c>
      <c r="H35" s="3"/>
      <c r="I35" s="3"/>
      <c r="J35" s="3"/>
      <c r="K35" s="4" t="s">
        <v>4</v>
      </c>
      <c r="L35" s="3"/>
      <c r="M35" s="3"/>
      <c r="N35" s="3"/>
      <c r="O35" s="3"/>
      <c r="P35" s="4" t="s">
        <v>3</v>
      </c>
      <c r="Q35" s="3"/>
      <c r="R35" s="3"/>
      <c r="S35" s="3"/>
      <c r="T35" s="3"/>
      <c r="U35" s="3"/>
    </row>
    <row r="36" spans="5:17" ht="18.75" customHeight="1">
      <c r="E36" s="1" t="s">
        <v>18</v>
      </c>
      <c r="G36" s="21">
        <v>4</v>
      </c>
      <c r="H36" s="22" t="s">
        <v>53</v>
      </c>
      <c r="K36" s="21">
        <v>850</v>
      </c>
      <c r="L36" s="23" t="s">
        <v>20</v>
      </c>
      <c r="N36" s="14" t="s">
        <v>21</v>
      </c>
      <c r="P36" s="24">
        <v>3.5</v>
      </c>
      <c r="Q36" s="25" t="s">
        <v>7</v>
      </c>
    </row>
    <row r="37" spans="7:16" ht="18.75" customHeight="1">
      <c r="G37" s="9"/>
      <c r="K37" s="9"/>
      <c r="P37" s="9"/>
    </row>
    <row r="38" spans="3:14" ht="18.75" customHeight="1">
      <c r="C38" s="14" t="s">
        <v>22</v>
      </c>
      <c r="L38" s="26" t="s">
        <v>23</v>
      </c>
      <c r="N38" s="26" t="s">
        <v>24</v>
      </c>
    </row>
    <row r="39" spans="3:16" ht="18.75" customHeight="1">
      <c r="C39" s="14" t="s">
        <v>25</v>
      </c>
      <c r="G39" s="27" t="s">
        <v>26</v>
      </c>
      <c r="H39" s="27"/>
      <c r="J39" s="1" t="s">
        <v>27</v>
      </c>
      <c r="L39" s="21">
        <v>2.1</v>
      </c>
      <c r="M39" s="25" t="s">
        <v>28</v>
      </c>
      <c r="N39" s="21">
        <v>2.1</v>
      </c>
      <c r="O39" s="25" t="s">
        <v>7</v>
      </c>
      <c r="P39" s="28" t="s">
        <v>29</v>
      </c>
    </row>
    <row r="40" spans="2:16" ht="18.75" customHeight="1">
      <c r="B40" s="1" t="s">
        <v>30</v>
      </c>
      <c r="C40" s="21">
        <v>1</v>
      </c>
      <c r="D40" s="19" t="str">
        <f>IF(C40=2,"場所打ち杭",IF(C40=1,"杭基礎",""))</f>
        <v>杭基礎</v>
      </c>
      <c r="E40" s="9"/>
      <c r="F40" s="30"/>
      <c r="L40" s="9"/>
      <c r="N40" s="16" t="s">
        <v>8</v>
      </c>
      <c r="P40" s="28" t="s">
        <v>31</v>
      </c>
    </row>
    <row r="41" spans="3:15" ht="18.75" customHeight="1">
      <c r="C41" s="9"/>
      <c r="D41" s="9"/>
      <c r="E41" s="9"/>
      <c r="K41" s="1" t="s">
        <v>32</v>
      </c>
      <c r="N41" s="21">
        <v>15</v>
      </c>
      <c r="O41" s="25" t="s">
        <v>7</v>
      </c>
    </row>
    <row r="42" ht="18.75" customHeight="1">
      <c r="N42" s="9"/>
    </row>
    <row r="43" spans="18:22" ht="18.75" customHeight="1">
      <c r="R43" s="31" t="s">
        <v>33</v>
      </c>
      <c r="V43" s="14" t="s">
        <v>33</v>
      </c>
    </row>
    <row r="44" ht="18.75" customHeight="1">
      <c r="N44" s="14" t="s">
        <v>34</v>
      </c>
    </row>
    <row r="45" spans="11:15" ht="18.75" customHeight="1">
      <c r="K45" s="1" t="s">
        <v>35</v>
      </c>
      <c r="N45" s="21">
        <v>18</v>
      </c>
      <c r="O45" s="25" t="s">
        <v>7</v>
      </c>
    </row>
    <row r="46" spans="14:17" ht="18.75" customHeight="1">
      <c r="N46" s="9"/>
      <c r="Q46" s="26" t="s">
        <v>36</v>
      </c>
    </row>
    <row r="47" ht="18.75" customHeight="1">
      <c r="T47" s="26" t="s">
        <v>36</v>
      </c>
    </row>
    <row r="48" spans="16:22" ht="18.75" customHeight="1">
      <c r="P48" s="32" t="s">
        <v>37</v>
      </c>
      <c r="Q48" s="27"/>
      <c r="R48" s="27"/>
      <c r="S48" s="32" t="s">
        <v>38</v>
      </c>
      <c r="T48" s="27"/>
      <c r="U48" s="27"/>
      <c r="V48" s="27"/>
    </row>
    <row r="49" spans="16:21" ht="18.75" customHeight="1">
      <c r="P49" s="26"/>
      <c r="Q49" s="13"/>
      <c r="T49" s="26"/>
      <c r="U49" s="13"/>
    </row>
    <row r="50" spans="16:20" ht="18.75" customHeight="1">
      <c r="P50" s="33"/>
      <c r="Q50" s="33"/>
      <c r="T50" s="13"/>
    </row>
    <row r="51" spans="7:13" ht="18.75" customHeight="1">
      <c r="G51" s="1" t="s">
        <v>39</v>
      </c>
      <c r="L51" s="34">
        <f>IF(L39="","",ROUND(L39+(N45-N41),1))</f>
        <v>5.1</v>
      </c>
      <c r="M51" s="25" t="s">
        <v>7</v>
      </c>
    </row>
    <row r="52" spans="12:20" ht="18.75" customHeight="1">
      <c r="L52" s="16" t="s">
        <v>12</v>
      </c>
      <c r="T52" s="35"/>
    </row>
    <row r="53" spans="5:16" ht="18.75" customHeight="1">
      <c r="E53" s="1" t="s">
        <v>40</v>
      </c>
      <c r="L53" s="36">
        <f>IF(N39="","",ROUND(1+0.2*(L39/N39),1))</f>
        <v>1.2</v>
      </c>
      <c r="M53" s="30"/>
      <c r="P53" s="14" t="s">
        <v>13</v>
      </c>
    </row>
    <row r="54" spans="5:17" ht="18.75" customHeight="1">
      <c r="E54" s="1" t="s">
        <v>41</v>
      </c>
      <c r="L54" s="21">
        <v>10</v>
      </c>
      <c r="M54" s="41" t="s">
        <v>245</v>
      </c>
      <c r="O54" s="14" t="s">
        <v>246</v>
      </c>
      <c r="P54" s="21">
        <v>18</v>
      </c>
      <c r="Q54" s="41" t="s">
        <v>247</v>
      </c>
    </row>
    <row r="55" spans="5:17" ht="18.75" customHeight="1">
      <c r="E55" s="1" t="s">
        <v>42</v>
      </c>
      <c r="L55" s="21">
        <v>144</v>
      </c>
      <c r="M55" s="41" t="s">
        <v>248</v>
      </c>
      <c r="O55" s="26" t="s">
        <v>43</v>
      </c>
      <c r="P55" s="36">
        <f>ROUND(L55/2,1)</f>
        <v>72</v>
      </c>
      <c r="Q55" s="41" t="s">
        <v>248</v>
      </c>
    </row>
    <row r="56" spans="5:17" ht="18.75" customHeight="1">
      <c r="E56" s="1" t="s">
        <v>44</v>
      </c>
      <c r="L56" s="9"/>
      <c r="O56" s="26" t="s">
        <v>45</v>
      </c>
      <c r="P56" s="11"/>
      <c r="Q56" s="41" t="s">
        <v>248</v>
      </c>
    </row>
    <row r="57" spans="4:17" ht="18.75" customHeight="1">
      <c r="D57" s="1"/>
      <c r="E57" s="1" t="s">
        <v>46</v>
      </c>
      <c r="K57" s="1"/>
      <c r="M57" s="1"/>
      <c r="O57" s="26" t="s">
        <v>47</v>
      </c>
      <c r="P57" s="11">
        <v>72</v>
      </c>
      <c r="Q57" s="37" t="s">
        <v>249</v>
      </c>
    </row>
    <row r="58" spans="4:17" ht="18.75" customHeight="1">
      <c r="D58" s="1" t="s">
        <v>54</v>
      </c>
      <c r="P58" s="9"/>
      <c r="Q58" s="14" t="s">
        <v>14</v>
      </c>
    </row>
    <row r="59" spans="8:20" ht="18.75" customHeight="1">
      <c r="H59" s="1" t="s">
        <v>55</v>
      </c>
      <c r="Q59" s="19">
        <f>IF(N39="","",ROUND((2/3)*(1+(N45-N41)/L39)*(1+(N45-N41)/N39)*(5.3*L53*P57+3*P54*P36+3*L54*(N41-P36)),1))</f>
        <v>3900.2</v>
      </c>
      <c r="R59" s="41" t="s">
        <v>248</v>
      </c>
      <c r="S59" s="1"/>
      <c r="T59" s="1" t="s">
        <v>0</v>
      </c>
    </row>
    <row r="60" spans="3:20" ht="18.75" customHeight="1">
      <c r="C60" s="1" t="s">
        <v>50</v>
      </c>
      <c r="D60" s="1"/>
      <c r="L60" s="31" t="s">
        <v>15</v>
      </c>
      <c r="M60" s="36">
        <f>IF(L39="","",IF(C40=2,"",ROUND(G36*K36/(L39*N39),1)))</f>
        <v>771</v>
      </c>
      <c r="N60" s="41" t="s">
        <v>250</v>
      </c>
      <c r="Q60" s="9"/>
      <c r="T60" s="1" t="s">
        <v>1</v>
      </c>
    </row>
    <row r="61" spans="3:20" ht="18.75" customHeight="1">
      <c r="C61" s="1" t="s">
        <v>51</v>
      </c>
      <c r="D61" s="1"/>
      <c r="M61" s="36">
        <f>IF(L39="","",IF(C40=1,"",ROUND(G36*K36*4/(L39*N39*3.14),1)))</f>
      </c>
      <c r="N61" s="41" t="s">
        <v>251</v>
      </c>
      <c r="T61" s="1" t="s">
        <v>1</v>
      </c>
    </row>
    <row r="62" ht="18.75" customHeight="1">
      <c r="M62" s="9"/>
    </row>
    <row r="63" spans="4:22" ht="18.75" customHeight="1">
      <c r="D63" s="26" t="s">
        <v>0</v>
      </c>
      <c r="E63" s="135" t="str">
        <f>IF(Q59="","",IF(Q59&gt;=MAX(M61,M60),"≧","＜"))</f>
        <v>≧</v>
      </c>
      <c r="F63" s="128" t="s">
        <v>1</v>
      </c>
      <c r="G63" s="26"/>
      <c r="H63" s="130" t="str">
        <f>IF(Q59="","",IF(Q59&gt;=MAX(M60,M61),"支持層下の粘性土層の支持力が杭先端部の支持力より大きい故問題有りません","粘性土層の支持力以下故杭耐力低減して下さい"))</f>
        <v>支持層下の粘性土層の支持力が杭先端部の支持力より大きい故問題有りません</v>
      </c>
      <c r="I63" s="131"/>
      <c r="J63" s="132"/>
      <c r="K63" s="133"/>
      <c r="L63" s="133"/>
      <c r="M63" s="133"/>
      <c r="N63" s="133"/>
      <c r="O63" s="133"/>
      <c r="P63" s="133"/>
      <c r="Q63" s="133"/>
      <c r="R63" s="133"/>
      <c r="S63" s="133"/>
      <c r="T63" s="133"/>
      <c r="U63" s="134"/>
      <c r="V63" s="50"/>
    </row>
    <row r="64" spans="4:22" ht="18.75" customHeight="1">
      <c r="D64" s="26"/>
      <c r="E64" s="128"/>
      <c r="F64" s="128"/>
      <c r="G64" s="26"/>
      <c r="H64" s="129"/>
      <c r="I64" s="128"/>
      <c r="J64" s="129"/>
      <c r="K64" s="50"/>
      <c r="L64" s="50"/>
      <c r="M64" s="50"/>
      <c r="N64" s="50"/>
      <c r="O64" s="50"/>
      <c r="P64" s="50"/>
      <c r="Q64" s="50"/>
      <c r="R64" s="50"/>
      <c r="S64" s="50"/>
      <c r="T64" s="50"/>
      <c r="U64" s="50"/>
      <c r="V64" s="50"/>
    </row>
    <row r="65" spans="4:22" ht="18.75" customHeight="1">
      <c r="D65" s="26"/>
      <c r="E65" s="128"/>
      <c r="F65" s="128"/>
      <c r="G65" s="26"/>
      <c r="H65" s="129"/>
      <c r="I65" s="128"/>
      <c r="J65" s="129"/>
      <c r="K65" s="50"/>
      <c r="L65" s="50"/>
      <c r="M65" s="50"/>
      <c r="N65" s="50"/>
      <c r="O65" s="50"/>
      <c r="P65" s="50"/>
      <c r="Q65" s="50"/>
      <c r="R65" s="50"/>
      <c r="S65" s="50"/>
      <c r="T65" s="50"/>
      <c r="U65" s="50"/>
      <c r="V65" s="50"/>
    </row>
    <row r="66" spans="4:22" ht="18.75" customHeight="1">
      <c r="D66" s="128"/>
      <c r="E66" s="128"/>
      <c r="F66" s="128"/>
      <c r="G66" s="128"/>
      <c r="H66" s="129"/>
      <c r="I66" s="128"/>
      <c r="J66" s="129"/>
      <c r="K66" s="50"/>
      <c r="L66" s="50"/>
      <c r="M66" s="50"/>
      <c r="N66" s="50"/>
      <c r="O66" s="50"/>
      <c r="P66" s="50"/>
      <c r="Q66" s="50"/>
      <c r="R66" s="50"/>
      <c r="S66" s="50"/>
      <c r="T66" s="50"/>
      <c r="U66" s="50"/>
      <c r="V66" s="50"/>
    </row>
    <row r="67" spans="4:17" ht="14.25">
      <c r="D67" s="50"/>
      <c r="E67" s="50"/>
      <c r="F67" s="50"/>
      <c r="G67" s="50"/>
      <c r="H67" s="50"/>
      <c r="I67" s="50"/>
      <c r="J67" s="50"/>
      <c r="K67" s="50"/>
      <c r="L67" s="50"/>
      <c r="M67" s="50"/>
      <c r="N67" s="50"/>
      <c r="O67" s="50"/>
      <c r="P67" s="50"/>
      <c r="Q67" s="50"/>
    </row>
    <row r="68" spans="4:17" ht="14.25">
      <c r="D68" s="50"/>
      <c r="E68" s="50"/>
      <c r="F68" s="50"/>
      <c r="G68" s="50"/>
      <c r="H68" s="50"/>
      <c r="I68" s="50"/>
      <c r="J68" s="50"/>
      <c r="K68" s="50"/>
      <c r="L68" s="50"/>
      <c r="M68" s="50"/>
      <c r="N68" s="50"/>
      <c r="O68" s="50"/>
      <c r="P68" s="50"/>
      <c r="Q68" s="50"/>
    </row>
    <row r="69" spans="4:17" ht="14.25">
      <c r="D69" s="50"/>
      <c r="E69" s="50"/>
      <c r="F69" s="50"/>
      <c r="G69" s="50"/>
      <c r="H69" s="50"/>
      <c r="I69" s="50"/>
      <c r="J69" s="50"/>
      <c r="K69" s="50"/>
      <c r="L69" s="50"/>
      <c r="M69" s="50"/>
      <c r="N69" s="50"/>
      <c r="O69" s="50"/>
      <c r="P69" s="50"/>
      <c r="Q69" s="50"/>
    </row>
    <row r="70" spans="4:17" ht="14.25">
      <c r="D70" s="50"/>
      <c r="E70" s="50"/>
      <c r="F70" s="50"/>
      <c r="G70" s="50"/>
      <c r="H70" s="50"/>
      <c r="I70" s="50"/>
      <c r="J70" s="50"/>
      <c r="K70" s="50"/>
      <c r="L70" s="50"/>
      <c r="M70" s="50"/>
      <c r="N70" s="50"/>
      <c r="O70" s="50"/>
      <c r="P70" s="50"/>
      <c r="Q70" s="50"/>
    </row>
    <row r="71" spans="4:17" ht="14.25">
      <c r="D71" s="50"/>
      <c r="E71" s="50"/>
      <c r="F71" s="50"/>
      <c r="G71" s="50"/>
      <c r="H71" s="50"/>
      <c r="I71" s="50"/>
      <c r="J71" s="50"/>
      <c r="K71" s="50"/>
      <c r="L71" s="50"/>
      <c r="M71" s="50"/>
      <c r="N71" s="50"/>
      <c r="O71" s="50"/>
      <c r="P71" s="50"/>
      <c r="Q71" s="50"/>
    </row>
    <row r="72" spans="4:17" ht="14.25">
      <c r="D72" s="50"/>
      <c r="E72" s="50"/>
      <c r="F72" s="50"/>
      <c r="G72" s="50"/>
      <c r="H72" s="50"/>
      <c r="I72" s="50"/>
      <c r="J72" s="50"/>
      <c r="K72" s="50"/>
      <c r="L72" s="50"/>
      <c r="M72" s="50"/>
      <c r="N72" s="50"/>
      <c r="O72" s="50"/>
      <c r="P72" s="50"/>
      <c r="Q72" s="50"/>
    </row>
    <row r="73" spans="4:17" ht="14.25">
      <c r="D73" s="50"/>
      <c r="E73" s="50"/>
      <c r="F73" s="50"/>
      <c r="G73" s="50"/>
      <c r="H73" s="50"/>
      <c r="I73" s="50"/>
      <c r="J73" s="50"/>
      <c r="K73" s="50"/>
      <c r="L73" s="50"/>
      <c r="M73" s="50"/>
      <c r="N73" s="50"/>
      <c r="O73" s="50"/>
      <c r="P73" s="50"/>
      <c r="Q73" s="50"/>
    </row>
  </sheetData>
  <sheetProtection/>
  <mergeCells count="4">
    <mergeCell ref="C2:G2"/>
    <mergeCell ref="H2:U2"/>
    <mergeCell ref="C34:G34"/>
    <mergeCell ref="H34:U34"/>
  </mergeCells>
  <printOptions horizontalCentered="1"/>
  <pageMargins left="0.39375" right="0.20069444444444445" top="0.39375" bottom="0.2125" header="0.512" footer="0.512"/>
  <pageSetup horizontalDpi="600" verticalDpi="600" orientation="portrait" paperSize="9" scale="62" r:id="rId2"/>
  <rowBreaks count="1" manualBreakCount="1">
    <brk id="32" max="65535" man="1"/>
  </rowBreaks>
  <drawing r:id="rId1"/>
</worksheet>
</file>

<file path=xl/worksheets/sheet3.xml><?xml version="1.0" encoding="utf-8"?>
<worksheet xmlns="http://schemas.openxmlformats.org/spreadsheetml/2006/main" xmlns:r="http://schemas.openxmlformats.org/officeDocument/2006/relationships">
  <dimension ref="B2:X195"/>
  <sheetViews>
    <sheetView showOutlineSymbols="0" zoomScale="75" zoomScaleNormal="75" zoomScalePageLayoutView="0" workbookViewId="0" topLeftCell="C1">
      <selection activeCell="G7" sqref="G7"/>
    </sheetView>
  </sheetViews>
  <sheetFormatPr defaultColWidth="10.75390625" defaultRowHeight="14.25"/>
  <cols>
    <col min="1" max="1" width="5.125" style="14" customWidth="1"/>
    <col min="2" max="2" width="6.875" style="14" customWidth="1"/>
    <col min="3" max="21" width="6.125" style="14" customWidth="1"/>
    <col min="22" max="22" width="6.875" style="14" customWidth="1"/>
    <col min="23" max="23" width="5.50390625" style="14" customWidth="1"/>
    <col min="24" max="16384" width="10.75390625" style="14" customWidth="1"/>
  </cols>
  <sheetData>
    <row r="1" ht="15.75" customHeight="1" thickBot="1"/>
    <row r="2" spans="4:21" ht="27" customHeight="1" thickBot="1" thickTop="1">
      <c r="D2" s="136" t="s">
        <v>241</v>
      </c>
      <c r="E2" s="136"/>
      <c r="F2" s="136"/>
      <c r="G2" s="136"/>
      <c r="H2" s="137"/>
      <c r="I2" s="138" t="s">
        <v>56</v>
      </c>
      <c r="J2" s="136"/>
      <c r="K2" s="136"/>
      <c r="L2" s="136"/>
      <c r="M2" s="136"/>
      <c r="N2" s="136"/>
      <c r="O2" s="136"/>
      <c r="P2" s="136"/>
      <c r="Q2" s="136"/>
      <c r="R2" s="136"/>
      <c r="S2" s="136"/>
      <c r="T2" s="136"/>
      <c r="U2" s="136"/>
    </row>
    <row r="3" spans="4:21" ht="15.75" customHeight="1" thickTop="1">
      <c r="D3" s="3"/>
      <c r="E3" s="3"/>
      <c r="F3" s="3"/>
      <c r="G3" s="3"/>
      <c r="H3" s="3"/>
      <c r="I3" s="3"/>
      <c r="J3" s="3"/>
      <c r="K3" s="3"/>
      <c r="L3" s="3"/>
      <c r="M3" s="3"/>
      <c r="N3" s="3"/>
      <c r="O3" s="3"/>
      <c r="P3" s="3"/>
      <c r="Q3" s="3"/>
      <c r="R3" s="3"/>
      <c r="S3" s="3"/>
      <c r="T3" s="3"/>
      <c r="U3" s="3"/>
    </row>
    <row r="4" spans="3:4" ht="15.75" customHeight="1">
      <c r="C4" s="1" t="s">
        <v>11</v>
      </c>
      <c r="D4" s="14" t="s">
        <v>57</v>
      </c>
    </row>
    <row r="5" ht="15.75" customHeight="1">
      <c r="E5" s="1" t="s">
        <v>58</v>
      </c>
    </row>
    <row r="6" ht="15.75" customHeight="1">
      <c r="E6" s="14" t="s">
        <v>59</v>
      </c>
    </row>
    <row r="7" ht="15.75" customHeight="1">
      <c r="E7" s="14" t="s">
        <v>60</v>
      </c>
    </row>
    <row r="8" spans="5:16" ht="15.75" customHeight="1">
      <c r="E8" s="1" t="s">
        <v>61</v>
      </c>
      <c r="L8" s="1" t="s">
        <v>62</v>
      </c>
      <c r="M8" s="1"/>
      <c r="O8" s="1" t="s">
        <v>63</v>
      </c>
      <c r="P8" s="1"/>
    </row>
    <row r="9" spans="5:22" ht="15.75" customHeight="1">
      <c r="E9" s="1" t="s">
        <v>64</v>
      </c>
      <c r="H9" s="11">
        <v>1</v>
      </c>
      <c r="I9" s="19" t="str">
        <f>IF(H9=4,"改良杭",IF(H9=3,"鋼管杭",IF(H9=2,"場所打ち杭",IF(H9=1,"PHC杭",""))))</f>
        <v>PHC杭</v>
      </c>
      <c r="J9" s="9"/>
      <c r="K9" s="9"/>
      <c r="L9" s="39" t="s">
        <v>65</v>
      </c>
      <c r="M9" s="9"/>
      <c r="N9" s="9"/>
      <c r="O9" s="9"/>
      <c r="P9" s="9"/>
      <c r="Q9" s="9"/>
      <c r="R9" s="9"/>
      <c r="S9" s="9"/>
      <c r="T9" s="9"/>
      <c r="U9" s="9"/>
      <c r="V9" s="30"/>
    </row>
    <row r="10" spans="5:21" ht="15.75" customHeight="1">
      <c r="E10" s="1" t="s">
        <v>66</v>
      </c>
      <c r="H10" s="11">
        <v>1.2</v>
      </c>
      <c r="I10" s="39" t="s">
        <v>67</v>
      </c>
      <c r="J10" s="9"/>
      <c r="K10" s="9"/>
      <c r="L10" s="9"/>
      <c r="M10" s="9"/>
      <c r="N10" s="9"/>
      <c r="O10" s="9"/>
      <c r="P10" s="9"/>
      <c r="Q10" s="9"/>
      <c r="R10" s="9"/>
      <c r="S10" s="9"/>
      <c r="T10" s="9"/>
      <c r="U10" s="9"/>
    </row>
    <row r="11" spans="5:15" ht="15.75" customHeight="1">
      <c r="E11" s="1" t="s">
        <v>68</v>
      </c>
      <c r="H11" s="40">
        <v>10.7</v>
      </c>
      <c r="I11" s="25" t="s">
        <v>69</v>
      </c>
      <c r="J11" s="11">
        <v>0</v>
      </c>
      <c r="K11" s="22" t="s">
        <v>70</v>
      </c>
      <c r="N11" s="36">
        <f>ROUND(H11-J11,1)</f>
        <v>10.7</v>
      </c>
      <c r="O11" s="41" t="s">
        <v>233</v>
      </c>
    </row>
    <row r="12" spans="5:15" ht="15.75" customHeight="1">
      <c r="E12" s="1" t="s">
        <v>71</v>
      </c>
      <c r="H12" s="11">
        <v>10.7</v>
      </c>
      <c r="I12" s="25" t="s">
        <v>69</v>
      </c>
      <c r="J12" s="11">
        <v>0</v>
      </c>
      <c r="K12" s="22" t="s">
        <v>70</v>
      </c>
      <c r="N12" s="36">
        <f>ROUND(H12-J12,1)</f>
        <v>10.7</v>
      </c>
      <c r="O12" s="41" t="s">
        <v>233</v>
      </c>
    </row>
    <row r="13" spans="5:14" ht="15.75" customHeight="1">
      <c r="E13" s="1" t="s">
        <v>72</v>
      </c>
      <c r="H13" s="11">
        <v>13.05</v>
      </c>
      <c r="I13" s="41" t="s">
        <v>7</v>
      </c>
      <c r="J13" s="12"/>
      <c r="K13" s="1"/>
      <c r="N13" s="16"/>
    </row>
    <row r="14" spans="5:11" ht="15.75" customHeight="1">
      <c r="E14" s="1" t="s">
        <v>73</v>
      </c>
      <c r="H14" s="11">
        <v>2.25</v>
      </c>
      <c r="I14" s="22" t="s">
        <v>74</v>
      </c>
      <c r="J14" s="13"/>
      <c r="K14" s="1"/>
    </row>
    <row r="15" spans="5:10" ht="15.75" customHeight="1">
      <c r="E15" s="1" t="s">
        <v>75</v>
      </c>
      <c r="H15" s="42">
        <f>ROUND(H13+H14,1)</f>
        <v>15.3</v>
      </c>
      <c r="I15" s="41" t="s">
        <v>7</v>
      </c>
      <c r="J15" s="1" t="s">
        <v>76</v>
      </c>
    </row>
    <row r="16" spans="5:9" ht="15.75" customHeight="1">
      <c r="E16" s="1" t="s">
        <v>77</v>
      </c>
      <c r="H16" s="42">
        <f>ROUND(H13/3,2)</f>
        <v>4.35</v>
      </c>
      <c r="I16" s="41" t="s">
        <v>7</v>
      </c>
    </row>
    <row r="17" spans="5:20" ht="15.75" customHeight="1">
      <c r="E17" s="1" t="s">
        <v>78</v>
      </c>
      <c r="H17" s="11">
        <v>187</v>
      </c>
      <c r="I17" s="30"/>
      <c r="J17" s="1" t="s">
        <v>79</v>
      </c>
      <c r="P17" s="26" t="s">
        <v>80</v>
      </c>
      <c r="Q17" s="11">
        <v>30</v>
      </c>
      <c r="R17" s="25" t="s">
        <v>81</v>
      </c>
      <c r="S17" s="19">
        <f>ROUNDDOWN(12.5*Q17/2,0)</f>
        <v>187</v>
      </c>
      <c r="T17" s="30"/>
    </row>
    <row r="18" spans="5:20" ht="15.75" customHeight="1">
      <c r="E18" s="28" t="s">
        <v>82</v>
      </c>
      <c r="H18" s="9"/>
      <c r="J18" s="14" t="s">
        <v>83</v>
      </c>
      <c r="Q18" s="9"/>
      <c r="R18" s="26" t="s">
        <v>84</v>
      </c>
      <c r="S18" s="11">
        <v>0</v>
      </c>
      <c r="T18" s="30"/>
    </row>
    <row r="19" ht="15.75" customHeight="1">
      <c r="S19" s="9"/>
    </row>
    <row r="20" spans="3:22" ht="15.75" customHeight="1">
      <c r="C20" s="31" t="s">
        <v>85</v>
      </c>
      <c r="D20" s="1" t="s">
        <v>86</v>
      </c>
      <c r="I20" s="19">
        <f>ROUND(H10,1)</f>
        <v>1.2</v>
      </c>
      <c r="J20" s="22" t="s">
        <v>87</v>
      </c>
      <c r="K20" s="19">
        <f>ROUND(H17,1)</f>
        <v>187</v>
      </c>
      <c r="L20" s="25" t="s">
        <v>88</v>
      </c>
      <c r="M20" s="19">
        <f>ROUND(N11,1)</f>
        <v>10.7</v>
      </c>
      <c r="N20" s="25" t="s">
        <v>89</v>
      </c>
      <c r="O20" s="19">
        <f>ROUND(H13,2)</f>
        <v>13.05</v>
      </c>
      <c r="P20" s="25" t="s">
        <v>90</v>
      </c>
      <c r="Q20" s="19">
        <f>ROUND(N12,2)</f>
        <v>10.7</v>
      </c>
      <c r="R20" s="25" t="s">
        <v>89</v>
      </c>
      <c r="S20" s="19">
        <f>ROUND(H14,2)</f>
        <v>2.25</v>
      </c>
      <c r="T20" s="43" t="s">
        <v>91</v>
      </c>
      <c r="U20" s="19">
        <f>ROUND(I20*5.14*K20+(M20*O20+Q20*S20),0)</f>
        <v>1317</v>
      </c>
      <c r="V20" s="41" t="s">
        <v>232</v>
      </c>
    </row>
    <row r="21" spans="9:21" ht="15.75" customHeight="1">
      <c r="I21" s="9"/>
      <c r="K21" s="9"/>
      <c r="M21" s="9"/>
      <c r="O21" s="9"/>
      <c r="Q21" s="9"/>
      <c r="S21" s="9"/>
      <c r="U21" s="9"/>
    </row>
    <row r="22" spans="4:9" ht="15.75" customHeight="1">
      <c r="D22" s="36" t="s">
        <v>93</v>
      </c>
      <c r="E22" s="30"/>
      <c r="I22" s="14" t="s">
        <v>94</v>
      </c>
    </row>
    <row r="23" spans="4:11" ht="15.75" customHeight="1">
      <c r="D23" s="9"/>
      <c r="K23" s="14" t="s">
        <v>95</v>
      </c>
    </row>
    <row r="24" ht="15.75" customHeight="1">
      <c r="K24" s="91"/>
    </row>
    <row r="25" ht="15.75" customHeight="1"/>
    <row r="26" ht="15.75" customHeight="1"/>
    <row r="27" spans="8:15" ht="15.75" customHeight="1">
      <c r="H27" s="44" t="s">
        <v>225</v>
      </c>
      <c r="M27" s="1" t="s">
        <v>96</v>
      </c>
      <c r="N27" s="19">
        <f>ROUND(H15-N35,1)</f>
        <v>8.7</v>
      </c>
      <c r="O27" s="41" t="s">
        <v>7</v>
      </c>
    </row>
    <row r="28" ht="15.75" customHeight="1">
      <c r="N28" s="9"/>
    </row>
    <row r="29" spans="4:18" ht="15.75" customHeight="1">
      <c r="D29" s="26" t="s">
        <v>97</v>
      </c>
      <c r="E29" s="19">
        <f>ROUND(H15,2)</f>
        <v>15.3</v>
      </c>
      <c r="F29" s="41" t="s">
        <v>7</v>
      </c>
      <c r="J29" s="26" t="s">
        <v>98</v>
      </c>
      <c r="K29" s="19">
        <f>ROUND(H13,2)</f>
        <v>13.05</v>
      </c>
      <c r="L29" s="41" t="s">
        <v>7</v>
      </c>
      <c r="P29" s="1" t="s">
        <v>99</v>
      </c>
      <c r="Q29" s="19">
        <f>ROUND(N11,2)</f>
        <v>10.7</v>
      </c>
      <c r="R29" s="41" t="s">
        <v>234</v>
      </c>
    </row>
    <row r="30" spans="5:17" ht="15.75" customHeight="1">
      <c r="E30" s="9"/>
      <c r="K30" s="9"/>
      <c r="P30" s="1" t="s">
        <v>100</v>
      </c>
      <c r="Q30" s="9"/>
    </row>
    <row r="31" ht="15.75" customHeight="1"/>
    <row r="32" ht="15.75" customHeight="1"/>
    <row r="33" spans="5:7" ht="15.75" customHeight="1">
      <c r="E33" s="14" t="s">
        <v>101</v>
      </c>
      <c r="F33" s="19">
        <f>ROUND(H16,2)</f>
        <v>4.35</v>
      </c>
      <c r="G33" s="41" t="s">
        <v>7</v>
      </c>
    </row>
    <row r="34" ht="15.75" customHeight="1">
      <c r="F34" s="9"/>
    </row>
    <row r="35" spans="5:15" ht="15.75" customHeight="1">
      <c r="E35" s="14">
        <v>1</v>
      </c>
      <c r="M35" s="14" t="s">
        <v>102</v>
      </c>
      <c r="N35" s="19">
        <f>ROUND(H16+H14,1)</f>
        <v>6.6</v>
      </c>
      <c r="O35" s="41" t="s">
        <v>7</v>
      </c>
    </row>
    <row r="36" spans="5:18" ht="15.75" customHeight="1">
      <c r="E36" s="33">
        <v>2</v>
      </c>
      <c r="H36" s="14" t="s">
        <v>103</v>
      </c>
      <c r="N36" s="9"/>
      <c r="P36" s="1" t="s">
        <v>104</v>
      </c>
      <c r="Q36" s="11">
        <v>11</v>
      </c>
      <c r="R36" s="41" t="s">
        <v>234</v>
      </c>
    </row>
    <row r="37" spans="10:22" ht="15.75" customHeight="1">
      <c r="J37" s="26" t="s">
        <v>105</v>
      </c>
      <c r="K37" s="19">
        <f>ROUND(H14,2)</f>
        <v>2.25</v>
      </c>
      <c r="L37" s="41" t="s">
        <v>7</v>
      </c>
      <c r="P37" s="1" t="s">
        <v>106</v>
      </c>
      <c r="Q37" s="9"/>
      <c r="V37" s="52" t="s">
        <v>232</v>
      </c>
    </row>
    <row r="38" spans="11:23" ht="15.75" customHeight="1">
      <c r="K38" s="9"/>
      <c r="P38" s="1" t="s">
        <v>107</v>
      </c>
      <c r="Q38" s="1"/>
      <c r="R38" s="19">
        <f>ROUND(Q36,2)</f>
        <v>11</v>
      </c>
      <c r="S38" s="25" t="s">
        <v>89</v>
      </c>
      <c r="T38" s="19">
        <f>ROUND(K37,2)</f>
        <v>2.25</v>
      </c>
      <c r="U38" s="25" t="s">
        <v>108</v>
      </c>
      <c r="V38" s="19">
        <f>ROUND(R38*T38,1)</f>
        <v>24.8</v>
      </c>
      <c r="W38" s="30"/>
    </row>
    <row r="39" spans="11:22" ht="15.75" customHeight="1">
      <c r="K39" s="14" t="s">
        <v>109</v>
      </c>
      <c r="R39" s="9"/>
      <c r="T39" s="9"/>
      <c r="V39" s="16" t="s">
        <v>110</v>
      </c>
    </row>
    <row r="40" ht="15.75" customHeight="1"/>
    <row r="41" spans="7:8" ht="15.75" customHeight="1">
      <c r="G41" s="45" t="s">
        <v>226</v>
      </c>
      <c r="H41" s="27"/>
    </row>
    <row r="42" ht="15.75" customHeight="1"/>
    <row r="43" spans="7:8" ht="15.75" customHeight="1">
      <c r="G43" s="45" t="s">
        <v>227</v>
      </c>
      <c r="H43" s="27"/>
    </row>
    <row r="44" spans="4:15" ht="15.75" customHeight="1">
      <c r="D44" s="26" t="s">
        <v>10</v>
      </c>
      <c r="F44" s="26" t="s">
        <v>13</v>
      </c>
      <c r="J44" s="26" t="s">
        <v>9</v>
      </c>
      <c r="M44" s="26" t="s">
        <v>110</v>
      </c>
      <c r="O44" s="92" t="s">
        <v>85</v>
      </c>
    </row>
    <row r="45" spans="3:17" ht="15.75" customHeight="1">
      <c r="C45" s="31"/>
      <c r="D45" s="140" t="s">
        <v>113</v>
      </c>
      <c r="F45" s="1" t="s">
        <v>114</v>
      </c>
      <c r="H45" s="139" t="s">
        <v>90</v>
      </c>
      <c r="J45" s="1" t="s">
        <v>115</v>
      </c>
      <c r="L45" s="139" t="s">
        <v>90</v>
      </c>
      <c r="M45" s="139" t="s">
        <v>116</v>
      </c>
      <c r="N45" s="139" t="s">
        <v>117</v>
      </c>
      <c r="O45" s="139" t="s">
        <v>118</v>
      </c>
      <c r="P45" s="1"/>
      <c r="Q45" s="139" t="s">
        <v>0</v>
      </c>
    </row>
    <row r="46" spans="4:17" ht="15.75" customHeight="1">
      <c r="D46" s="140"/>
      <c r="E46" s="29" t="s">
        <v>236</v>
      </c>
      <c r="H46" s="139"/>
      <c r="I46" s="29" t="s">
        <v>237</v>
      </c>
      <c r="L46" s="139"/>
      <c r="M46" s="139"/>
      <c r="N46" s="139"/>
      <c r="O46" s="139"/>
      <c r="Q46" s="139"/>
    </row>
    <row r="47" spans="5:9" ht="15.75" customHeight="1">
      <c r="E47" s="1"/>
      <c r="I47" s="1"/>
    </row>
    <row r="48" ht="15.75" customHeight="1" thickBot="1"/>
    <row r="49" spans="2:23" ht="24.75" customHeight="1" thickBot="1" thickTop="1">
      <c r="B49" s="46" t="s">
        <v>17</v>
      </c>
      <c r="C49" s="2" t="s">
        <v>119</v>
      </c>
      <c r="D49" s="3"/>
      <c r="E49" s="4"/>
      <c r="F49" s="4"/>
      <c r="G49" s="4"/>
      <c r="H49" s="106" t="s">
        <v>120</v>
      </c>
      <c r="I49" s="109">
        <v>800</v>
      </c>
      <c r="J49" s="5"/>
      <c r="K49" s="5"/>
      <c r="L49" s="5"/>
      <c r="M49" s="5"/>
      <c r="N49" s="5"/>
      <c r="O49" s="5"/>
      <c r="P49" s="112" t="s">
        <v>121</v>
      </c>
      <c r="Q49" s="6"/>
      <c r="R49" s="3"/>
      <c r="S49" s="3"/>
      <c r="T49" s="3"/>
      <c r="U49" s="3"/>
      <c r="V49" s="3"/>
      <c r="W49" s="47"/>
    </row>
    <row r="50" spans="2:24" ht="24.75" customHeight="1" thickTop="1">
      <c r="B50" s="46" t="s">
        <v>122</v>
      </c>
      <c r="C50" s="93" t="s">
        <v>123</v>
      </c>
      <c r="D50" s="94"/>
      <c r="E50" s="95"/>
      <c r="F50" s="96"/>
      <c r="G50" s="96"/>
      <c r="H50" s="107" t="s">
        <v>20</v>
      </c>
      <c r="I50" s="110">
        <v>1762.9</v>
      </c>
      <c r="J50" s="97"/>
      <c r="K50" s="97"/>
      <c r="L50" s="97"/>
      <c r="M50" s="97"/>
      <c r="N50" s="97"/>
      <c r="O50" s="97"/>
      <c r="P50" s="113" t="s">
        <v>124</v>
      </c>
      <c r="Q50" s="98"/>
      <c r="R50" s="99">
        <v>1</v>
      </c>
      <c r="S50" s="100" t="str">
        <f>IF(R50=2,"設計軸力を採用",IF(R50=1,"杭の長期支持力を採用",""))</f>
        <v>杭の長期支持力を採用</v>
      </c>
      <c r="T50" s="101"/>
      <c r="U50" s="101"/>
      <c r="V50" s="102"/>
      <c r="X50" s="48" t="s">
        <v>125</v>
      </c>
    </row>
    <row r="51" spans="2:23" ht="24.75" customHeight="1">
      <c r="B51" s="49" t="s">
        <v>3</v>
      </c>
      <c r="C51" s="8" t="s">
        <v>126</v>
      </c>
      <c r="D51" s="9"/>
      <c r="E51" s="9"/>
      <c r="F51" s="10"/>
      <c r="G51" s="10"/>
      <c r="H51" s="39" t="s">
        <v>20</v>
      </c>
      <c r="I51" s="74">
        <v>6283</v>
      </c>
      <c r="J51" s="11"/>
      <c r="K51" s="11"/>
      <c r="L51" s="11"/>
      <c r="M51" s="11"/>
      <c r="N51" s="11"/>
      <c r="O51" s="11"/>
      <c r="P51" s="114" t="s">
        <v>127</v>
      </c>
      <c r="Q51" s="12"/>
      <c r="R51" s="9"/>
      <c r="S51" s="9"/>
      <c r="T51" s="9"/>
      <c r="U51" s="9"/>
      <c r="V51" s="9"/>
      <c r="W51" s="47"/>
    </row>
    <row r="52" spans="2:23" ht="24.75" customHeight="1">
      <c r="B52" s="49" t="s">
        <v>5</v>
      </c>
      <c r="C52" s="8" t="s">
        <v>128</v>
      </c>
      <c r="D52" s="9"/>
      <c r="E52" s="9"/>
      <c r="F52" s="10"/>
      <c r="G52" s="10"/>
      <c r="H52" s="39" t="s">
        <v>20</v>
      </c>
      <c r="I52" s="74">
        <v>0</v>
      </c>
      <c r="J52" s="11"/>
      <c r="K52" s="11"/>
      <c r="L52" s="11"/>
      <c r="M52" s="11"/>
      <c r="N52" s="11"/>
      <c r="O52" s="11"/>
      <c r="P52" s="115"/>
      <c r="Q52" s="13"/>
      <c r="W52" s="47"/>
    </row>
    <row r="53" spans="2:23" ht="24.75" customHeight="1">
      <c r="B53" s="49" t="s">
        <v>6</v>
      </c>
      <c r="C53" s="8" t="s">
        <v>129</v>
      </c>
      <c r="D53" s="9"/>
      <c r="E53" s="9"/>
      <c r="F53" s="10"/>
      <c r="G53" s="10"/>
      <c r="H53" s="39" t="s">
        <v>20</v>
      </c>
      <c r="I53" s="74">
        <v>6283</v>
      </c>
      <c r="J53" s="11"/>
      <c r="K53" s="11"/>
      <c r="L53" s="11"/>
      <c r="M53" s="11"/>
      <c r="N53" s="11"/>
      <c r="O53" s="11"/>
      <c r="P53" s="114" t="s">
        <v>130</v>
      </c>
      <c r="Q53" s="12"/>
      <c r="R53" s="9"/>
      <c r="S53" s="9"/>
      <c r="T53" s="9"/>
      <c r="U53" s="9"/>
      <c r="V53" s="9"/>
      <c r="W53" s="47"/>
    </row>
    <row r="54" spans="2:23" ht="24.75" customHeight="1" thickBot="1">
      <c r="B54" s="49" t="s">
        <v>110</v>
      </c>
      <c r="C54" s="15" t="s">
        <v>131</v>
      </c>
      <c r="D54" s="9"/>
      <c r="E54" s="9"/>
      <c r="F54" s="16"/>
      <c r="G54" s="16"/>
      <c r="H54" s="19" t="s">
        <v>92</v>
      </c>
      <c r="I54" s="74">
        <v>24.8</v>
      </c>
      <c r="J54" s="11"/>
      <c r="K54" s="11"/>
      <c r="L54" s="11"/>
      <c r="M54" s="11"/>
      <c r="N54" s="11"/>
      <c r="O54" s="11"/>
      <c r="P54" s="114" t="s">
        <v>132</v>
      </c>
      <c r="Q54" s="12"/>
      <c r="R54" s="9"/>
      <c r="S54" s="9"/>
      <c r="T54" s="9"/>
      <c r="U54" s="9"/>
      <c r="V54" s="9"/>
      <c r="W54" s="47"/>
    </row>
    <row r="55" spans="2:23" ht="24.75" customHeight="1" thickTop="1">
      <c r="B55" s="46" t="s">
        <v>133</v>
      </c>
      <c r="C55" s="103" t="s">
        <v>134</v>
      </c>
      <c r="D55" s="94"/>
      <c r="E55" s="94"/>
      <c r="F55" s="95"/>
      <c r="G55" s="95"/>
      <c r="H55" s="108" t="s">
        <v>7</v>
      </c>
      <c r="I55" s="111">
        <f aca="true" t="shared" si="0" ref="I55:O55">IF(I49="","",ROUND(I49/1000+$H$14,2))</f>
        <v>3.05</v>
      </c>
      <c r="J55" s="104">
        <f t="shared" si="0"/>
      </c>
      <c r="K55" s="104">
        <f t="shared" si="0"/>
      </c>
      <c r="L55" s="104">
        <f t="shared" si="0"/>
      </c>
      <c r="M55" s="104">
        <f t="shared" si="0"/>
      </c>
      <c r="N55" s="104">
        <f t="shared" si="0"/>
      </c>
      <c r="O55" s="104">
        <f t="shared" si="0"/>
      </c>
      <c r="P55" s="113" t="s">
        <v>135</v>
      </c>
      <c r="Q55" s="98"/>
      <c r="R55" s="94"/>
      <c r="S55" s="94"/>
      <c r="T55" s="94"/>
      <c r="U55" s="94"/>
      <c r="V55" s="105"/>
      <c r="W55" s="47"/>
    </row>
    <row r="56" spans="2:23" ht="24.75" customHeight="1">
      <c r="B56" s="49" t="s">
        <v>34</v>
      </c>
      <c r="C56" s="15" t="s">
        <v>136</v>
      </c>
      <c r="D56" s="9"/>
      <c r="E56" s="9"/>
      <c r="F56" s="16"/>
      <c r="G56" s="16"/>
      <c r="H56" s="36" t="s">
        <v>7</v>
      </c>
      <c r="I56" s="79">
        <f aca="true" t="shared" si="1" ref="I56:O56">IF(I49="","",ROUND(I49/1000+$H$14+$H16,2))</f>
        <v>7.4</v>
      </c>
      <c r="J56" s="17">
        <f t="shared" si="1"/>
      </c>
      <c r="K56" s="17">
        <f t="shared" si="1"/>
      </c>
      <c r="L56" s="17">
        <f t="shared" si="1"/>
      </c>
      <c r="M56" s="17">
        <f t="shared" si="1"/>
      </c>
      <c r="N56" s="17">
        <f t="shared" si="1"/>
      </c>
      <c r="O56" s="17">
        <f t="shared" si="1"/>
      </c>
      <c r="P56" s="114" t="s">
        <v>137</v>
      </c>
      <c r="Q56" s="18"/>
      <c r="R56" s="9"/>
      <c r="S56" s="9"/>
      <c r="T56" s="9"/>
      <c r="U56" s="9"/>
      <c r="V56" s="9"/>
      <c r="W56" s="47"/>
    </row>
    <row r="57" spans="2:23" ht="24.75" customHeight="1">
      <c r="B57" s="49" t="s">
        <v>12</v>
      </c>
      <c r="C57" s="15" t="s">
        <v>138</v>
      </c>
      <c r="D57" s="9"/>
      <c r="E57" s="9"/>
      <c r="F57" s="9"/>
      <c r="G57" s="10"/>
      <c r="H57" s="39" t="s">
        <v>20</v>
      </c>
      <c r="I57" s="84">
        <f aca="true" t="shared" si="2" ref="I57:O57">IF(I50="","",ROUND(I50*I51/I53,1))</f>
        <v>1762.9</v>
      </c>
      <c r="J57" s="19">
        <f t="shared" si="2"/>
      </c>
      <c r="K57" s="19">
        <f t="shared" si="2"/>
      </c>
      <c r="L57" s="19">
        <f t="shared" si="2"/>
      </c>
      <c r="M57" s="19">
        <f t="shared" si="2"/>
      </c>
      <c r="N57" s="19">
        <f t="shared" si="2"/>
      </c>
      <c r="O57" s="19">
        <f t="shared" si="2"/>
      </c>
      <c r="P57" s="114" t="s">
        <v>139</v>
      </c>
      <c r="Q57" s="12"/>
      <c r="R57" s="9"/>
      <c r="S57" s="9"/>
      <c r="T57" s="9"/>
      <c r="U57" s="9"/>
      <c r="V57" s="9"/>
      <c r="W57" s="47"/>
    </row>
    <row r="58" spans="2:23" ht="24.75" customHeight="1">
      <c r="B58" s="49" t="s">
        <v>140</v>
      </c>
      <c r="C58" s="15" t="s">
        <v>141</v>
      </c>
      <c r="D58" s="9"/>
      <c r="E58" s="9"/>
      <c r="F58" s="9"/>
      <c r="G58" s="9"/>
      <c r="H58" s="39" t="s">
        <v>20</v>
      </c>
      <c r="I58" s="84">
        <f aca="true" t="shared" si="3" ref="I58:O58">IF(I50="","",ROUND(I50*I52/I53,1))</f>
        <v>0</v>
      </c>
      <c r="J58" s="19">
        <f t="shared" si="3"/>
      </c>
      <c r="K58" s="19">
        <f t="shared" si="3"/>
      </c>
      <c r="L58" s="19">
        <f t="shared" si="3"/>
      </c>
      <c r="M58" s="19">
        <f t="shared" si="3"/>
      </c>
      <c r="N58" s="19">
        <f t="shared" si="3"/>
      </c>
      <c r="O58" s="19">
        <f t="shared" si="3"/>
      </c>
      <c r="P58" s="114" t="s">
        <v>142</v>
      </c>
      <c r="Q58" s="12"/>
      <c r="R58" s="9"/>
      <c r="S58" s="9"/>
      <c r="T58" s="9"/>
      <c r="U58" s="9"/>
      <c r="V58" s="9"/>
      <c r="W58" s="47"/>
    </row>
    <row r="59" spans="2:23" ht="24.75" customHeight="1">
      <c r="B59" s="49" t="s">
        <v>13</v>
      </c>
      <c r="C59" s="15" t="s">
        <v>143</v>
      </c>
      <c r="D59" s="9"/>
      <c r="E59" s="9"/>
      <c r="F59" s="9"/>
      <c r="G59" s="9"/>
      <c r="H59" s="19" t="s">
        <v>92</v>
      </c>
      <c r="I59" s="84">
        <f aca="true" t="shared" si="4" ref="I59:O59">IF(I49="","",ROUND(I57/(0.785*I55*I55),1))</f>
        <v>241.4</v>
      </c>
      <c r="J59" s="19">
        <f t="shared" si="4"/>
      </c>
      <c r="K59" s="19">
        <f t="shared" si="4"/>
      </c>
      <c r="L59" s="19">
        <f t="shared" si="4"/>
      </c>
      <c r="M59" s="19">
        <f t="shared" si="4"/>
      </c>
      <c r="N59" s="19">
        <f t="shared" si="4"/>
      </c>
      <c r="O59" s="19">
        <f t="shared" si="4"/>
      </c>
      <c r="P59" s="114" t="s">
        <v>144</v>
      </c>
      <c r="Q59" s="12"/>
      <c r="R59" s="9"/>
      <c r="S59" s="9"/>
      <c r="T59" s="9"/>
      <c r="U59" s="9"/>
      <c r="V59" s="9"/>
      <c r="W59" s="47"/>
    </row>
    <row r="60" spans="2:23" ht="24.75" customHeight="1">
      <c r="B60" s="49" t="s">
        <v>9</v>
      </c>
      <c r="C60" s="15" t="s">
        <v>145</v>
      </c>
      <c r="D60" s="9"/>
      <c r="E60" s="9"/>
      <c r="F60" s="9"/>
      <c r="G60" s="9"/>
      <c r="H60" s="19" t="s">
        <v>92</v>
      </c>
      <c r="I60" s="84">
        <f aca="true" t="shared" si="5" ref="I60:O60">IF(I49="","",ROUND(I58/(0.785*I56*I56),1))</f>
        <v>0</v>
      </c>
      <c r="J60" s="19">
        <f t="shared" si="5"/>
      </c>
      <c r="K60" s="19">
        <f t="shared" si="5"/>
      </c>
      <c r="L60" s="19">
        <f t="shared" si="5"/>
      </c>
      <c r="M60" s="19">
        <f t="shared" si="5"/>
      </c>
      <c r="N60" s="19">
        <f t="shared" si="5"/>
      </c>
      <c r="O60" s="19">
        <f t="shared" si="5"/>
      </c>
      <c r="P60" s="114" t="s">
        <v>144</v>
      </c>
      <c r="Q60" s="12"/>
      <c r="R60" s="9"/>
      <c r="S60" s="9"/>
      <c r="T60" s="9"/>
      <c r="U60" s="9"/>
      <c r="V60" s="9"/>
      <c r="W60" s="47"/>
    </row>
    <row r="61" spans="2:23" ht="24.75" customHeight="1">
      <c r="B61" s="49" t="s">
        <v>10</v>
      </c>
      <c r="C61" s="8" t="s">
        <v>146</v>
      </c>
      <c r="D61" s="9"/>
      <c r="E61" s="9"/>
      <c r="F61" s="9"/>
      <c r="G61" s="9"/>
      <c r="H61" s="19" t="s">
        <v>92</v>
      </c>
      <c r="I61" s="84">
        <f aca="true" t="shared" si="6" ref="I61:O61">IF(I49="","",ROUND(I59+I60+I54,1))</f>
        <v>266.2</v>
      </c>
      <c r="J61" s="19">
        <f t="shared" si="6"/>
      </c>
      <c r="K61" s="19">
        <f t="shared" si="6"/>
      </c>
      <c r="L61" s="19">
        <f t="shared" si="6"/>
      </c>
      <c r="M61" s="19">
        <f t="shared" si="6"/>
      </c>
      <c r="N61" s="19">
        <f t="shared" si="6"/>
      </c>
      <c r="O61" s="19">
        <f t="shared" si="6"/>
      </c>
      <c r="P61" s="114" t="s">
        <v>144</v>
      </c>
      <c r="Q61" s="12"/>
      <c r="R61" s="9"/>
      <c r="S61" s="9"/>
      <c r="T61" s="9"/>
      <c r="U61" s="9"/>
      <c r="V61" s="9"/>
      <c r="W61" s="47"/>
    </row>
    <row r="62" spans="2:23" ht="24.75" customHeight="1" thickBot="1">
      <c r="B62" s="49" t="s">
        <v>85</v>
      </c>
      <c r="C62" s="15" t="s">
        <v>147</v>
      </c>
      <c r="D62" s="9"/>
      <c r="E62" s="9"/>
      <c r="F62" s="9"/>
      <c r="G62" s="9"/>
      <c r="H62" s="19" t="s">
        <v>92</v>
      </c>
      <c r="I62" s="84">
        <f aca="true" t="shared" si="7" ref="I62:O62">IF(I49="","",ROUND($U20/3,1))</f>
        <v>439</v>
      </c>
      <c r="J62" s="19">
        <f t="shared" si="7"/>
      </c>
      <c r="K62" s="19">
        <f t="shared" si="7"/>
      </c>
      <c r="L62" s="19">
        <f t="shared" si="7"/>
      </c>
      <c r="M62" s="19">
        <f t="shared" si="7"/>
      </c>
      <c r="N62" s="19">
        <f t="shared" si="7"/>
      </c>
      <c r="O62" s="19">
        <f t="shared" si="7"/>
      </c>
      <c r="P62" s="114" t="s">
        <v>148</v>
      </c>
      <c r="Q62" s="12"/>
      <c r="R62" s="9"/>
      <c r="S62" s="9"/>
      <c r="T62" s="9"/>
      <c r="U62" s="9"/>
      <c r="V62" s="9"/>
      <c r="W62" s="47"/>
    </row>
    <row r="63" spans="2:23" ht="24.75" customHeight="1" thickBot="1" thickTop="1">
      <c r="B63" s="2" t="s">
        <v>149</v>
      </c>
      <c r="C63" s="103" t="s">
        <v>150</v>
      </c>
      <c r="D63" s="94"/>
      <c r="E63" s="94"/>
      <c r="F63" s="94"/>
      <c r="G63" s="94"/>
      <c r="H63" s="95"/>
      <c r="I63" s="118">
        <f aca="true" t="shared" si="8" ref="I63:O63">IF(I61="","",ROUND(I61/I62,2))</f>
        <v>0.61</v>
      </c>
      <c r="J63" s="118">
        <f t="shared" si="8"/>
      </c>
      <c r="K63" s="118">
        <f t="shared" si="8"/>
      </c>
      <c r="L63" s="118">
        <f t="shared" si="8"/>
      </c>
      <c r="M63" s="118">
        <f t="shared" si="8"/>
      </c>
      <c r="N63" s="118">
        <f t="shared" si="8"/>
      </c>
      <c r="O63" s="118">
        <f t="shared" si="8"/>
      </c>
      <c r="P63" s="116" t="s">
        <v>151</v>
      </c>
      <c r="Q63" s="98"/>
      <c r="R63" s="94"/>
      <c r="S63" s="94"/>
      <c r="T63" s="94"/>
      <c r="U63" s="94"/>
      <c r="V63" s="105"/>
      <c r="W63" s="47"/>
    </row>
    <row r="64" spans="2:23" ht="24.75" customHeight="1" thickBot="1">
      <c r="B64" s="49" t="s">
        <v>14</v>
      </c>
      <c r="C64" s="103" t="s">
        <v>152</v>
      </c>
      <c r="D64" s="94"/>
      <c r="E64" s="94"/>
      <c r="F64" s="94"/>
      <c r="G64" s="94"/>
      <c r="H64" s="94"/>
      <c r="I64" s="119" t="str">
        <f aca="true" t="shared" si="9" ref="I64:O64">IF(I49="","",IF(I62&gt;=I61,"OK","OUT"))</f>
        <v>OK</v>
      </c>
      <c r="J64" s="119">
        <f t="shared" si="9"/>
      </c>
      <c r="K64" s="119">
        <f t="shared" si="9"/>
      </c>
      <c r="L64" s="119">
        <f t="shared" si="9"/>
      </c>
      <c r="M64" s="119">
        <f t="shared" si="9"/>
      </c>
      <c r="N64" s="119">
        <f t="shared" si="9"/>
      </c>
      <c r="O64" s="119">
        <f t="shared" si="9"/>
      </c>
      <c r="P64" s="117" t="s">
        <v>153</v>
      </c>
      <c r="Q64" s="20"/>
      <c r="R64" s="9"/>
      <c r="S64" s="9"/>
      <c r="T64" s="9"/>
      <c r="U64" s="9"/>
      <c r="V64" s="9"/>
      <c r="W64" s="47"/>
    </row>
    <row r="65" spans="2:22" ht="15.75" customHeight="1" thickTop="1">
      <c r="B65" s="3"/>
      <c r="C65" s="3"/>
      <c r="D65" s="3"/>
      <c r="E65" s="3"/>
      <c r="F65" s="3"/>
      <c r="G65" s="3"/>
      <c r="H65" s="3"/>
      <c r="I65" s="3"/>
      <c r="J65" s="3"/>
      <c r="K65" s="3"/>
      <c r="L65" s="3"/>
      <c r="M65" s="3"/>
      <c r="N65" s="3"/>
      <c r="O65" s="3"/>
      <c r="P65" s="3"/>
      <c r="Q65" s="3"/>
      <c r="R65" s="3"/>
      <c r="S65" s="3"/>
      <c r="T65" s="3"/>
      <c r="U65" s="3"/>
      <c r="V65" s="3"/>
    </row>
    <row r="66" ht="15.75" customHeight="1" thickBot="1"/>
    <row r="67" spans="4:21" ht="27" customHeight="1" thickBot="1" thickTop="1">
      <c r="D67" s="136" t="s">
        <v>241</v>
      </c>
      <c r="E67" s="136"/>
      <c r="F67" s="136"/>
      <c r="G67" s="136"/>
      <c r="H67" s="137"/>
      <c r="I67" s="138" t="s">
        <v>154</v>
      </c>
      <c r="J67" s="136"/>
      <c r="K67" s="136"/>
      <c r="L67" s="136"/>
      <c r="M67" s="136"/>
      <c r="N67" s="136"/>
      <c r="O67" s="136"/>
      <c r="P67" s="136"/>
      <c r="Q67" s="136"/>
      <c r="R67" s="136"/>
      <c r="S67" s="136"/>
      <c r="T67" s="136"/>
      <c r="U67" s="136"/>
    </row>
    <row r="68" spans="4:21" ht="15.75" customHeight="1" thickTop="1">
      <c r="D68" s="3"/>
      <c r="E68" s="3"/>
      <c r="F68" s="3"/>
      <c r="G68" s="3"/>
      <c r="H68" s="3"/>
      <c r="I68" s="3"/>
      <c r="J68" s="3"/>
      <c r="K68" s="3"/>
      <c r="L68" s="3"/>
      <c r="M68" s="3"/>
      <c r="N68" s="3"/>
      <c r="O68" s="3"/>
      <c r="P68" s="3"/>
      <c r="Q68" s="3"/>
      <c r="R68" s="3"/>
      <c r="S68" s="3"/>
      <c r="T68" s="3"/>
      <c r="U68" s="3"/>
    </row>
    <row r="69" spans="3:4" ht="15.75" customHeight="1">
      <c r="C69" s="1" t="s">
        <v>11</v>
      </c>
      <c r="D69" s="14" t="s">
        <v>57</v>
      </c>
    </row>
    <row r="70" ht="15.75" customHeight="1">
      <c r="E70" s="1" t="s">
        <v>58</v>
      </c>
    </row>
    <row r="71" ht="15.75" customHeight="1">
      <c r="E71" s="14" t="s">
        <v>59</v>
      </c>
    </row>
    <row r="72" ht="15.75" customHeight="1">
      <c r="E72" s="14" t="s">
        <v>60</v>
      </c>
    </row>
    <row r="73" spans="5:16" ht="15.75" customHeight="1">
      <c r="E73" s="1" t="s">
        <v>61</v>
      </c>
      <c r="L73" s="1" t="s">
        <v>62</v>
      </c>
      <c r="M73" s="1"/>
      <c r="O73" s="1" t="s">
        <v>63</v>
      </c>
      <c r="P73" s="1"/>
    </row>
    <row r="74" spans="5:22" ht="15.75" customHeight="1">
      <c r="E74" s="1" t="s">
        <v>64</v>
      </c>
      <c r="H74" s="11">
        <v>1</v>
      </c>
      <c r="I74" s="19" t="str">
        <f>IF(H74=4,"改良杭",IF(H74=3,"鋼管杭",IF(H74=2,"場所打ち杭",IF(H74=1,"PHC杭",""))))</f>
        <v>PHC杭</v>
      </c>
      <c r="J74" s="9"/>
      <c r="K74" s="9"/>
      <c r="L74" s="39" t="s">
        <v>65</v>
      </c>
      <c r="M74" s="9"/>
      <c r="N74" s="9"/>
      <c r="O74" s="9"/>
      <c r="P74" s="9"/>
      <c r="Q74" s="9"/>
      <c r="R74" s="9"/>
      <c r="S74" s="9"/>
      <c r="T74" s="9"/>
      <c r="U74" s="9"/>
      <c r="V74" s="30"/>
    </row>
    <row r="75" spans="5:21" ht="15.75" customHeight="1">
      <c r="E75" s="1" t="s">
        <v>66</v>
      </c>
      <c r="H75" s="11">
        <v>1.2</v>
      </c>
      <c r="I75" s="39" t="s">
        <v>67</v>
      </c>
      <c r="J75" s="9"/>
      <c r="K75" s="9"/>
      <c r="L75" s="9"/>
      <c r="M75" s="9"/>
      <c r="N75" s="9"/>
      <c r="O75" s="9"/>
      <c r="P75" s="9"/>
      <c r="Q75" s="9"/>
      <c r="R75" s="9"/>
      <c r="S75" s="9"/>
      <c r="T75" s="9"/>
      <c r="U75" s="9"/>
    </row>
    <row r="76" spans="5:15" ht="15.75" customHeight="1">
      <c r="E76" s="1" t="s">
        <v>68</v>
      </c>
      <c r="H76" s="40">
        <v>10.7</v>
      </c>
      <c r="I76" s="25" t="s">
        <v>69</v>
      </c>
      <c r="J76" s="11">
        <v>0</v>
      </c>
      <c r="K76" s="22" t="s">
        <v>70</v>
      </c>
      <c r="N76" s="36">
        <f>ROUND(H76-J76,1)</f>
        <v>10.7</v>
      </c>
      <c r="O76" s="41" t="s">
        <v>233</v>
      </c>
    </row>
    <row r="77" spans="5:15" ht="15.75" customHeight="1">
      <c r="E77" s="1" t="s">
        <v>71</v>
      </c>
      <c r="H77" s="11">
        <v>10.7</v>
      </c>
      <c r="I77" s="25" t="s">
        <v>69</v>
      </c>
      <c r="J77" s="11">
        <v>0</v>
      </c>
      <c r="K77" s="22" t="s">
        <v>70</v>
      </c>
      <c r="N77" s="36">
        <f>ROUND(H77-J77,1)</f>
        <v>10.7</v>
      </c>
      <c r="O77" s="41" t="s">
        <v>233</v>
      </c>
    </row>
    <row r="78" spans="5:14" ht="15.75" customHeight="1">
      <c r="E78" s="1" t="s">
        <v>72</v>
      </c>
      <c r="H78" s="11">
        <v>13.05</v>
      </c>
      <c r="I78" s="41" t="s">
        <v>7</v>
      </c>
      <c r="J78" s="12"/>
      <c r="K78" s="1"/>
      <c r="N78" s="16"/>
    </row>
    <row r="79" spans="5:11" ht="15.75" customHeight="1">
      <c r="E79" s="1" t="s">
        <v>73</v>
      </c>
      <c r="H79" s="11">
        <v>2.25</v>
      </c>
      <c r="I79" s="22" t="s">
        <v>74</v>
      </c>
      <c r="J79" s="13"/>
      <c r="K79" s="1"/>
    </row>
    <row r="80" spans="5:10" ht="15.75" customHeight="1">
      <c r="E80" s="1" t="s">
        <v>75</v>
      </c>
      <c r="H80" s="42">
        <f>ROUND(H78+H79,1)</f>
        <v>15.3</v>
      </c>
      <c r="I80" s="41" t="s">
        <v>7</v>
      </c>
      <c r="J80" s="1" t="s">
        <v>76</v>
      </c>
    </row>
    <row r="81" spans="5:9" ht="15.75" customHeight="1">
      <c r="E81" s="1" t="s">
        <v>77</v>
      </c>
      <c r="H81" s="42">
        <f>ROUND(H78/3,2)</f>
        <v>4.35</v>
      </c>
      <c r="I81" s="41" t="s">
        <v>7</v>
      </c>
    </row>
    <row r="82" spans="5:20" ht="15.75" customHeight="1">
      <c r="E82" s="1" t="s">
        <v>78</v>
      </c>
      <c r="H82" s="11">
        <v>187</v>
      </c>
      <c r="I82" s="30"/>
      <c r="J82" s="1" t="s">
        <v>79</v>
      </c>
      <c r="P82" s="26" t="s">
        <v>80</v>
      </c>
      <c r="Q82" s="11">
        <v>30</v>
      </c>
      <c r="R82" s="25" t="s">
        <v>81</v>
      </c>
      <c r="S82" s="19">
        <f>ROUNDDOWN(12.5*Q82/2,0)</f>
        <v>187</v>
      </c>
      <c r="T82" s="30"/>
    </row>
    <row r="83" spans="5:20" ht="15.75" customHeight="1">
      <c r="E83" s="28" t="s">
        <v>82</v>
      </c>
      <c r="H83" s="9"/>
      <c r="J83" s="14" t="s">
        <v>83</v>
      </c>
      <c r="Q83" s="9"/>
      <c r="R83" s="26" t="s">
        <v>84</v>
      </c>
      <c r="S83" s="11">
        <v>0</v>
      </c>
      <c r="T83" s="30"/>
    </row>
    <row r="84" ht="15.75" customHeight="1">
      <c r="S84" s="9"/>
    </row>
    <row r="85" spans="3:22" ht="15.75" customHeight="1">
      <c r="C85" s="31" t="s">
        <v>85</v>
      </c>
      <c r="D85" s="1" t="s">
        <v>86</v>
      </c>
      <c r="I85" s="19">
        <f>ROUND(H75,1)</f>
        <v>1.2</v>
      </c>
      <c r="J85" s="22" t="s">
        <v>87</v>
      </c>
      <c r="K85" s="19">
        <f>ROUND(H82,1)</f>
        <v>187</v>
      </c>
      <c r="L85" s="25" t="s">
        <v>88</v>
      </c>
      <c r="M85" s="19">
        <f>ROUND(N76,1)</f>
        <v>10.7</v>
      </c>
      <c r="N85" s="25" t="s">
        <v>89</v>
      </c>
      <c r="O85" s="19">
        <f>ROUND(H78,2)</f>
        <v>13.05</v>
      </c>
      <c r="P85" s="25" t="s">
        <v>90</v>
      </c>
      <c r="Q85" s="19">
        <f>ROUND(N77,2)</f>
        <v>10.7</v>
      </c>
      <c r="R85" s="25" t="s">
        <v>89</v>
      </c>
      <c r="S85" s="19">
        <f>ROUND(H79,2)</f>
        <v>2.25</v>
      </c>
      <c r="T85" s="43" t="s">
        <v>91</v>
      </c>
      <c r="U85" s="19">
        <f>ROUND(I85*5.14*K85+(M85*O85+Q85*S85),0)</f>
        <v>1317</v>
      </c>
      <c r="V85" s="41" t="s">
        <v>232</v>
      </c>
    </row>
    <row r="86" spans="9:21" ht="15.75" customHeight="1">
      <c r="I86" s="9"/>
      <c r="K86" s="9"/>
      <c r="M86" s="9"/>
      <c r="O86" s="9"/>
      <c r="Q86" s="9"/>
      <c r="S86" s="9"/>
      <c r="U86" s="9"/>
    </row>
    <row r="87" spans="4:9" ht="15.75" customHeight="1">
      <c r="D87" s="36" t="s">
        <v>93</v>
      </c>
      <c r="E87" s="30"/>
      <c r="I87" s="14" t="s">
        <v>94</v>
      </c>
    </row>
    <row r="88" spans="4:11" ht="15.75" customHeight="1">
      <c r="D88" s="9"/>
      <c r="K88" s="14" t="s">
        <v>95</v>
      </c>
    </row>
    <row r="89" ht="15.75" customHeight="1">
      <c r="K89" s="91"/>
    </row>
    <row r="90" ht="15.75" customHeight="1"/>
    <row r="91" ht="15.75" customHeight="1"/>
    <row r="92" spans="8:15" ht="15.75" customHeight="1">
      <c r="H92" s="44" t="s">
        <v>228</v>
      </c>
      <c r="M92" s="1" t="s">
        <v>96</v>
      </c>
      <c r="N92" s="19">
        <f>ROUND(H80-N100,1)</f>
        <v>8.7</v>
      </c>
      <c r="O92" s="41" t="s">
        <v>7</v>
      </c>
    </row>
    <row r="93" ht="15.75" customHeight="1">
      <c r="N93" s="9"/>
    </row>
    <row r="94" spans="4:18" ht="15.75" customHeight="1">
      <c r="D94" s="26" t="s">
        <v>97</v>
      </c>
      <c r="E94" s="19">
        <f>ROUND(H80,2)</f>
        <v>15.3</v>
      </c>
      <c r="F94" s="41" t="s">
        <v>7</v>
      </c>
      <c r="J94" s="26" t="s">
        <v>98</v>
      </c>
      <c r="K94" s="19">
        <f>ROUND(H78,2)</f>
        <v>13.05</v>
      </c>
      <c r="L94" s="41" t="s">
        <v>7</v>
      </c>
      <c r="P94" s="1" t="s">
        <v>99</v>
      </c>
      <c r="Q94" s="19">
        <f>ROUND(N76,2)</f>
        <v>10.7</v>
      </c>
      <c r="R94" s="41" t="s">
        <v>234</v>
      </c>
    </row>
    <row r="95" spans="5:17" ht="15.75" customHeight="1">
      <c r="E95" s="9"/>
      <c r="K95" s="9"/>
      <c r="P95" s="1" t="s">
        <v>100</v>
      </c>
      <c r="Q95" s="9"/>
    </row>
    <row r="96" ht="15.75" customHeight="1"/>
    <row r="97" ht="15.75" customHeight="1"/>
    <row r="98" spans="5:7" ht="15.75" customHeight="1">
      <c r="E98" s="14" t="s">
        <v>101</v>
      </c>
      <c r="F98" s="19">
        <f>ROUND(H81,2)</f>
        <v>4.35</v>
      </c>
      <c r="G98" s="41" t="s">
        <v>7</v>
      </c>
    </row>
    <row r="99" ht="15.75" customHeight="1">
      <c r="F99" s="9"/>
    </row>
    <row r="100" spans="5:15" ht="15.75" customHeight="1">
      <c r="E100" s="14">
        <v>1</v>
      </c>
      <c r="M100" s="14" t="s">
        <v>102</v>
      </c>
      <c r="N100" s="19">
        <f>ROUND(H81+H79,1)</f>
        <v>6.6</v>
      </c>
      <c r="O100" s="41" t="s">
        <v>7</v>
      </c>
    </row>
    <row r="101" spans="5:18" ht="15.75" customHeight="1">
      <c r="E101" s="33">
        <v>2</v>
      </c>
      <c r="H101" s="14" t="s">
        <v>103</v>
      </c>
      <c r="N101" s="9"/>
      <c r="P101" s="1" t="s">
        <v>104</v>
      </c>
      <c r="Q101" s="11">
        <v>11</v>
      </c>
      <c r="R101" s="41" t="s">
        <v>234</v>
      </c>
    </row>
    <row r="102" spans="10:22" ht="15.75" customHeight="1">
      <c r="J102" s="26" t="s">
        <v>105</v>
      </c>
      <c r="K102" s="19">
        <f>ROUND(H79,2)</f>
        <v>2.25</v>
      </c>
      <c r="L102" s="41" t="s">
        <v>7</v>
      </c>
      <c r="P102" s="1" t="s">
        <v>106</v>
      </c>
      <c r="Q102" s="9"/>
      <c r="V102" s="52" t="s">
        <v>232</v>
      </c>
    </row>
    <row r="103" spans="11:23" ht="15.75" customHeight="1">
      <c r="K103" s="9"/>
      <c r="P103" s="1" t="s">
        <v>107</v>
      </c>
      <c r="Q103" s="1"/>
      <c r="R103" s="19">
        <f>ROUND(Q101,2)</f>
        <v>11</v>
      </c>
      <c r="S103" s="25" t="s">
        <v>89</v>
      </c>
      <c r="T103" s="19">
        <f>ROUND(K102,2)</f>
        <v>2.25</v>
      </c>
      <c r="U103" s="25" t="s">
        <v>108</v>
      </c>
      <c r="V103" s="19">
        <f>ROUND(R103*T103,1)</f>
        <v>24.8</v>
      </c>
      <c r="W103" s="30"/>
    </row>
    <row r="104" spans="11:22" ht="15.75" customHeight="1">
      <c r="K104" s="14" t="s">
        <v>109</v>
      </c>
      <c r="R104" s="9"/>
      <c r="T104" s="9"/>
      <c r="V104" s="16" t="s">
        <v>110</v>
      </c>
    </row>
    <row r="105" ht="15.75" customHeight="1"/>
    <row r="106" spans="7:8" ht="15.75" customHeight="1">
      <c r="G106" s="27" t="s">
        <v>111</v>
      </c>
      <c r="H106" s="27"/>
    </row>
    <row r="107" ht="15.75" customHeight="1"/>
    <row r="108" spans="7:8" ht="15.75" customHeight="1">
      <c r="G108" s="27" t="s">
        <v>112</v>
      </c>
      <c r="H108" s="27"/>
    </row>
    <row r="109" spans="4:15" ht="15.75" customHeight="1">
      <c r="D109" s="26" t="s">
        <v>10</v>
      </c>
      <c r="F109" s="26" t="s">
        <v>13</v>
      </c>
      <c r="J109" s="26" t="s">
        <v>9</v>
      </c>
      <c r="M109" s="26" t="s">
        <v>110</v>
      </c>
      <c r="O109" s="14" t="s">
        <v>85</v>
      </c>
    </row>
    <row r="110" spans="3:17" ht="15.75" customHeight="1">
      <c r="C110" s="31"/>
      <c r="D110" s="140" t="s">
        <v>113</v>
      </c>
      <c r="F110" s="1" t="s">
        <v>114</v>
      </c>
      <c r="H110" s="139" t="s">
        <v>90</v>
      </c>
      <c r="J110" s="1" t="s">
        <v>115</v>
      </c>
      <c r="L110" s="139" t="s">
        <v>90</v>
      </c>
      <c r="M110" s="139" t="s">
        <v>116</v>
      </c>
      <c r="N110" s="139" t="s">
        <v>117</v>
      </c>
      <c r="O110" s="141" t="s">
        <v>155</v>
      </c>
      <c r="P110" s="141"/>
      <c r="Q110" s="139" t="s">
        <v>0</v>
      </c>
    </row>
    <row r="111" spans="4:17" ht="15.75" customHeight="1">
      <c r="D111" s="140"/>
      <c r="E111" s="29" t="s">
        <v>238</v>
      </c>
      <c r="H111" s="139"/>
      <c r="I111" s="29" t="s">
        <v>239</v>
      </c>
      <c r="L111" s="139"/>
      <c r="M111" s="139"/>
      <c r="N111" s="139"/>
      <c r="O111" s="141"/>
      <c r="P111" s="141"/>
      <c r="Q111" s="139"/>
    </row>
    <row r="112" spans="5:9" ht="15.75" customHeight="1">
      <c r="E112" s="1"/>
      <c r="I112" s="1"/>
    </row>
    <row r="113" ht="15.75" customHeight="1" thickBot="1"/>
    <row r="114" spans="2:23" ht="24.75" customHeight="1" thickBot="1" thickTop="1">
      <c r="B114" s="46" t="s">
        <v>17</v>
      </c>
      <c r="C114" s="2" t="s">
        <v>119</v>
      </c>
      <c r="D114" s="3"/>
      <c r="E114" s="4"/>
      <c r="F114" s="4"/>
      <c r="G114" s="4"/>
      <c r="H114" s="106" t="s">
        <v>120</v>
      </c>
      <c r="I114" s="109">
        <v>800</v>
      </c>
      <c r="J114" s="5"/>
      <c r="K114" s="5"/>
      <c r="L114" s="5"/>
      <c r="M114" s="5"/>
      <c r="N114" s="5"/>
      <c r="O114" s="5"/>
      <c r="P114" s="112" t="s">
        <v>121</v>
      </c>
      <c r="Q114" s="6"/>
      <c r="R114" s="3"/>
      <c r="S114" s="3"/>
      <c r="T114" s="3"/>
      <c r="U114" s="3"/>
      <c r="V114" s="3"/>
      <c r="W114" s="47"/>
    </row>
    <row r="115" spans="2:24" ht="24.75" customHeight="1" thickTop="1">
      <c r="B115" s="46" t="s">
        <v>122</v>
      </c>
      <c r="C115" s="93" t="s">
        <v>123</v>
      </c>
      <c r="D115" s="94"/>
      <c r="E115" s="95"/>
      <c r="F115" s="96"/>
      <c r="G115" s="96"/>
      <c r="H115" s="107" t="s">
        <v>20</v>
      </c>
      <c r="I115" s="110">
        <v>1762.9</v>
      </c>
      <c r="J115" s="97"/>
      <c r="K115" s="97"/>
      <c r="L115" s="97"/>
      <c r="M115" s="97"/>
      <c r="N115" s="97"/>
      <c r="O115" s="97"/>
      <c r="P115" s="113" t="s">
        <v>124</v>
      </c>
      <c r="Q115" s="98"/>
      <c r="R115" s="99">
        <v>1</v>
      </c>
      <c r="S115" s="100" t="str">
        <f>IF(R115=2,"設計軸力を採用",IF(R115=1,"杭の長期支持力を採用",""))</f>
        <v>杭の長期支持力を採用</v>
      </c>
      <c r="T115" s="101"/>
      <c r="U115" s="101"/>
      <c r="V115" s="102"/>
      <c r="X115" s="48" t="s">
        <v>125</v>
      </c>
    </row>
    <row r="116" spans="2:23" ht="24.75" customHeight="1">
      <c r="B116" s="49" t="s">
        <v>3</v>
      </c>
      <c r="C116" s="8" t="s">
        <v>126</v>
      </c>
      <c r="D116" s="9"/>
      <c r="E116" s="9"/>
      <c r="F116" s="10"/>
      <c r="G116" s="10"/>
      <c r="H116" s="39" t="s">
        <v>20</v>
      </c>
      <c r="I116" s="74">
        <v>6283</v>
      </c>
      <c r="J116" s="11"/>
      <c r="K116" s="11"/>
      <c r="L116" s="11"/>
      <c r="M116" s="11"/>
      <c r="N116" s="11"/>
      <c r="O116" s="11"/>
      <c r="P116" s="114" t="s">
        <v>127</v>
      </c>
      <c r="Q116" s="12"/>
      <c r="R116" s="9"/>
      <c r="S116" s="9"/>
      <c r="T116" s="9"/>
      <c r="U116" s="9"/>
      <c r="V116" s="9"/>
      <c r="W116" s="47"/>
    </row>
    <row r="117" spans="2:23" ht="24.75" customHeight="1">
      <c r="B117" s="49" t="s">
        <v>5</v>
      </c>
      <c r="C117" s="8" t="s">
        <v>128</v>
      </c>
      <c r="D117" s="9"/>
      <c r="E117" s="9"/>
      <c r="F117" s="10"/>
      <c r="G117" s="10"/>
      <c r="H117" s="39" t="s">
        <v>20</v>
      </c>
      <c r="I117" s="74">
        <v>0</v>
      </c>
      <c r="J117" s="11"/>
      <c r="K117" s="11"/>
      <c r="L117" s="11"/>
      <c r="M117" s="11"/>
      <c r="N117" s="11"/>
      <c r="O117" s="11"/>
      <c r="P117" s="115"/>
      <c r="Q117" s="13"/>
      <c r="W117" s="47"/>
    </row>
    <row r="118" spans="2:23" ht="24.75" customHeight="1">
      <c r="B118" s="49" t="s">
        <v>6</v>
      </c>
      <c r="C118" s="8" t="s">
        <v>129</v>
      </c>
      <c r="D118" s="9"/>
      <c r="E118" s="9"/>
      <c r="F118" s="10"/>
      <c r="G118" s="10"/>
      <c r="H118" s="39" t="s">
        <v>20</v>
      </c>
      <c r="I118" s="74">
        <v>6283</v>
      </c>
      <c r="J118" s="11"/>
      <c r="K118" s="11"/>
      <c r="L118" s="11"/>
      <c r="M118" s="11"/>
      <c r="N118" s="11"/>
      <c r="O118" s="11"/>
      <c r="P118" s="114" t="s">
        <v>130</v>
      </c>
      <c r="Q118" s="12"/>
      <c r="R118" s="9"/>
      <c r="S118" s="9"/>
      <c r="T118" s="9"/>
      <c r="U118" s="9"/>
      <c r="V118" s="9"/>
      <c r="W118" s="47"/>
    </row>
    <row r="119" spans="2:23" ht="24.75" customHeight="1" thickBot="1">
      <c r="B119" s="49" t="s">
        <v>110</v>
      </c>
      <c r="C119" s="15" t="s">
        <v>131</v>
      </c>
      <c r="D119" s="9"/>
      <c r="E119" s="9"/>
      <c r="F119" s="16"/>
      <c r="G119" s="16"/>
      <c r="H119" s="19" t="s">
        <v>92</v>
      </c>
      <c r="I119" s="74">
        <v>24.8</v>
      </c>
      <c r="J119" s="11"/>
      <c r="K119" s="11"/>
      <c r="L119" s="11"/>
      <c r="M119" s="11"/>
      <c r="N119" s="11"/>
      <c r="O119" s="11"/>
      <c r="P119" s="114" t="s">
        <v>132</v>
      </c>
      <c r="Q119" s="12"/>
      <c r="R119" s="9"/>
      <c r="S119" s="9"/>
      <c r="T119" s="9"/>
      <c r="U119" s="9"/>
      <c r="V119" s="9"/>
      <c r="W119" s="47"/>
    </row>
    <row r="120" spans="2:23" ht="24.75" customHeight="1" thickTop="1">
      <c r="B120" s="46" t="s">
        <v>133</v>
      </c>
      <c r="C120" s="103" t="s">
        <v>134</v>
      </c>
      <c r="D120" s="94"/>
      <c r="E120" s="94"/>
      <c r="F120" s="95"/>
      <c r="G120" s="95"/>
      <c r="H120" s="108" t="s">
        <v>7</v>
      </c>
      <c r="I120" s="111">
        <f aca="true" t="shared" si="10" ref="I120:O120">IF(I114="","",ROUND(I114/1000+$H$14,2))</f>
        <v>3.05</v>
      </c>
      <c r="J120" s="104">
        <f t="shared" si="10"/>
      </c>
      <c r="K120" s="104">
        <f t="shared" si="10"/>
      </c>
      <c r="L120" s="104">
        <f t="shared" si="10"/>
      </c>
      <c r="M120" s="104">
        <f t="shared" si="10"/>
      </c>
      <c r="N120" s="104">
        <f t="shared" si="10"/>
      </c>
      <c r="O120" s="104">
        <f t="shared" si="10"/>
      </c>
      <c r="P120" s="113" t="s">
        <v>135</v>
      </c>
      <c r="Q120" s="98"/>
      <c r="R120" s="94"/>
      <c r="S120" s="94"/>
      <c r="T120" s="94"/>
      <c r="U120" s="94"/>
      <c r="V120" s="105"/>
      <c r="W120" s="47"/>
    </row>
    <row r="121" spans="2:23" ht="24.75" customHeight="1">
      <c r="B121" s="49" t="s">
        <v>34</v>
      </c>
      <c r="C121" s="15" t="s">
        <v>136</v>
      </c>
      <c r="D121" s="9"/>
      <c r="E121" s="9"/>
      <c r="F121" s="16"/>
      <c r="G121" s="16"/>
      <c r="H121" s="36" t="s">
        <v>7</v>
      </c>
      <c r="I121" s="79">
        <f aca="true" t="shared" si="11" ref="I121:O121">IF(I114="","",ROUND(I114/1000+$H$14+$H81,2))</f>
        <v>7.4</v>
      </c>
      <c r="J121" s="17">
        <f t="shared" si="11"/>
      </c>
      <c r="K121" s="17">
        <f t="shared" si="11"/>
      </c>
      <c r="L121" s="17">
        <f t="shared" si="11"/>
      </c>
      <c r="M121" s="17">
        <f t="shared" si="11"/>
      </c>
      <c r="N121" s="17">
        <f t="shared" si="11"/>
      </c>
      <c r="O121" s="17">
        <f t="shared" si="11"/>
      </c>
      <c r="P121" s="114" t="s">
        <v>137</v>
      </c>
      <c r="Q121" s="18"/>
      <c r="R121" s="9"/>
      <c r="S121" s="9"/>
      <c r="T121" s="9"/>
      <c r="U121" s="9"/>
      <c r="V121" s="9"/>
      <c r="W121" s="47"/>
    </row>
    <row r="122" spans="2:23" ht="24.75" customHeight="1">
      <c r="B122" s="49" t="s">
        <v>12</v>
      </c>
      <c r="C122" s="15" t="s">
        <v>138</v>
      </c>
      <c r="D122" s="9"/>
      <c r="E122" s="9"/>
      <c r="F122" s="9"/>
      <c r="G122" s="10"/>
      <c r="H122" s="39" t="s">
        <v>20</v>
      </c>
      <c r="I122" s="84">
        <f aca="true" t="shared" si="12" ref="I122:O122">IF(I115="","",ROUND(I115*I116/I118,1))</f>
        <v>1762.9</v>
      </c>
      <c r="J122" s="19">
        <f t="shared" si="12"/>
      </c>
      <c r="K122" s="19">
        <f t="shared" si="12"/>
      </c>
      <c r="L122" s="19">
        <f t="shared" si="12"/>
      </c>
      <c r="M122" s="19">
        <f t="shared" si="12"/>
      </c>
      <c r="N122" s="19">
        <f t="shared" si="12"/>
      </c>
      <c r="O122" s="19">
        <f t="shared" si="12"/>
      </c>
      <c r="P122" s="114" t="s">
        <v>139</v>
      </c>
      <c r="Q122" s="12"/>
      <c r="R122" s="9"/>
      <c r="S122" s="9"/>
      <c r="T122" s="9"/>
      <c r="U122" s="9"/>
      <c r="V122" s="9"/>
      <c r="W122" s="47"/>
    </row>
    <row r="123" spans="2:23" ht="24.75" customHeight="1">
      <c r="B123" s="49" t="s">
        <v>140</v>
      </c>
      <c r="C123" s="15" t="s">
        <v>141</v>
      </c>
      <c r="D123" s="9"/>
      <c r="E123" s="9"/>
      <c r="F123" s="9"/>
      <c r="G123" s="9"/>
      <c r="H123" s="39" t="s">
        <v>20</v>
      </c>
      <c r="I123" s="84">
        <f aca="true" t="shared" si="13" ref="I123:O123">IF(I115="","",ROUND(I115*I117/I118,1))</f>
        <v>0</v>
      </c>
      <c r="J123" s="19">
        <f t="shared" si="13"/>
      </c>
      <c r="K123" s="19">
        <f t="shared" si="13"/>
      </c>
      <c r="L123" s="19">
        <f t="shared" si="13"/>
      </c>
      <c r="M123" s="19">
        <f t="shared" si="13"/>
      </c>
      <c r="N123" s="19">
        <f t="shared" si="13"/>
      </c>
      <c r="O123" s="19">
        <f t="shared" si="13"/>
      </c>
      <c r="P123" s="114" t="s">
        <v>142</v>
      </c>
      <c r="Q123" s="12"/>
      <c r="R123" s="9"/>
      <c r="S123" s="9"/>
      <c r="T123" s="9"/>
      <c r="U123" s="9"/>
      <c r="V123" s="9"/>
      <c r="W123" s="47"/>
    </row>
    <row r="124" spans="2:23" ht="24.75" customHeight="1">
      <c r="B124" s="49" t="s">
        <v>13</v>
      </c>
      <c r="C124" s="15" t="s">
        <v>143</v>
      </c>
      <c r="D124" s="9"/>
      <c r="E124" s="9"/>
      <c r="F124" s="9"/>
      <c r="G124" s="9"/>
      <c r="H124" s="19" t="s">
        <v>92</v>
      </c>
      <c r="I124" s="84">
        <f aca="true" t="shared" si="14" ref="I124:O124">IF(I114="","",ROUND(I122/(0.785*I120*I120),1))</f>
        <v>241.4</v>
      </c>
      <c r="J124" s="19">
        <f t="shared" si="14"/>
      </c>
      <c r="K124" s="19">
        <f t="shared" si="14"/>
      </c>
      <c r="L124" s="19">
        <f t="shared" si="14"/>
      </c>
      <c r="M124" s="19">
        <f t="shared" si="14"/>
      </c>
      <c r="N124" s="19">
        <f t="shared" si="14"/>
      </c>
      <c r="O124" s="19">
        <f t="shared" si="14"/>
      </c>
      <c r="P124" s="114" t="s">
        <v>144</v>
      </c>
      <c r="Q124" s="12"/>
      <c r="R124" s="9"/>
      <c r="S124" s="9"/>
      <c r="T124" s="9"/>
      <c r="U124" s="9"/>
      <c r="V124" s="9"/>
      <c r="W124" s="47"/>
    </row>
    <row r="125" spans="2:23" ht="24.75" customHeight="1">
      <c r="B125" s="49" t="s">
        <v>9</v>
      </c>
      <c r="C125" s="15" t="s">
        <v>145</v>
      </c>
      <c r="D125" s="9"/>
      <c r="E125" s="9"/>
      <c r="F125" s="9"/>
      <c r="G125" s="9"/>
      <c r="H125" s="19" t="s">
        <v>92</v>
      </c>
      <c r="I125" s="84">
        <f aca="true" t="shared" si="15" ref="I125:O125">IF(I114="","",ROUND(I123/(0.785*I121*I121),1))</f>
        <v>0</v>
      </c>
      <c r="J125" s="19">
        <f t="shared" si="15"/>
      </c>
      <c r="K125" s="19">
        <f t="shared" si="15"/>
      </c>
      <c r="L125" s="19">
        <f t="shared" si="15"/>
      </c>
      <c r="M125" s="19">
        <f t="shared" si="15"/>
      </c>
      <c r="N125" s="19">
        <f t="shared" si="15"/>
      </c>
      <c r="O125" s="19">
        <f t="shared" si="15"/>
      </c>
      <c r="P125" s="114" t="s">
        <v>144</v>
      </c>
      <c r="Q125" s="12"/>
      <c r="R125" s="9"/>
      <c r="S125" s="9"/>
      <c r="T125" s="9"/>
      <c r="U125" s="9"/>
      <c r="V125" s="9"/>
      <c r="W125" s="47"/>
    </row>
    <row r="126" spans="2:23" ht="24.75" customHeight="1">
      <c r="B126" s="49" t="s">
        <v>10</v>
      </c>
      <c r="C126" s="8" t="s">
        <v>146</v>
      </c>
      <c r="D126" s="9"/>
      <c r="E126" s="9"/>
      <c r="F126" s="9"/>
      <c r="G126" s="9"/>
      <c r="H126" s="19" t="s">
        <v>92</v>
      </c>
      <c r="I126" s="84">
        <f aca="true" t="shared" si="16" ref="I126:O126">IF(I114="","",ROUND(I124+I125+I119,1))</f>
        <v>266.2</v>
      </c>
      <c r="J126" s="19">
        <f t="shared" si="16"/>
      </c>
      <c r="K126" s="19">
        <f t="shared" si="16"/>
      </c>
      <c r="L126" s="19">
        <f t="shared" si="16"/>
      </c>
      <c r="M126" s="19">
        <f t="shared" si="16"/>
      </c>
      <c r="N126" s="19">
        <f t="shared" si="16"/>
      </c>
      <c r="O126" s="19">
        <f t="shared" si="16"/>
      </c>
      <c r="P126" s="114" t="s">
        <v>144</v>
      </c>
      <c r="Q126" s="12"/>
      <c r="R126" s="9"/>
      <c r="S126" s="9"/>
      <c r="T126" s="9"/>
      <c r="U126" s="9"/>
      <c r="V126" s="9"/>
      <c r="W126" s="47"/>
    </row>
    <row r="127" spans="2:23" ht="24.75" customHeight="1" thickBot="1">
      <c r="B127" s="49" t="s">
        <v>85</v>
      </c>
      <c r="C127" s="15" t="s">
        <v>156</v>
      </c>
      <c r="D127" s="9"/>
      <c r="E127" s="9"/>
      <c r="F127" s="9"/>
      <c r="G127" s="9"/>
      <c r="H127" s="19" t="s">
        <v>92</v>
      </c>
      <c r="I127" s="84">
        <f aca="true" t="shared" si="17" ref="I127:O127">IF(I114="","",ROUND($U85*2/3,1))</f>
        <v>878</v>
      </c>
      <c r="J127" s="19">
        <f t="shared" si="17"/>
      </c>
      <c r="K127" s="19">
        <f t="shared" si="17"/>
      </c>
      <c r="L127" s="19">
        <f t="shared" si="17"/>
      </c>
      <c r="M127" s="19">
        <f t="shared" si="17"/>
      </c>
      <c r="N127" s="19">
        <f t="shared" si="17"/>
      </c>
      <c r="O127" s="19">
        <f t="shared" si="17"/>
      </c>
      <c r="P127" s="114" t="s">
        <v>157</v>
      </c>
      <c r="Q127" s="12"/>
      <c r="R127" s="9"/>
      <c r="S127" s="9"/>
      <c r="T127" s="9"/>
      <c r="U127" s="9"/>
      <c r="V127" s="9"/>
      <c r="W127" s="47"/>
    </row>
    <row r="128" spans="2:23" ht="24.75" customHeight="1" thickBot="1" thickTop="1">
      <c r="B128" s="2" t="s">
        <v>149</v>
      </c>
      <c r="C128" s="103" t="s">
        <v>150</v>
      </c>
      <c r="D128" s="94"/>
      <c r="E128" s="94"/>
      <c r="F128" s="94"/>
      <c r="G128" s="94"/>
      <c r="H128" s="95"/>
      <c r="I128" s="118">
        <f aca="true" t="shared" si="18" ref="I128:O128">IF(I126="","",ROUND(I126/I127,2))</f>
        <v>0.3</v>
      </c>
      <c r="J128" s="118">
        <f t="shared" si="18"/>
      </c>
      <c r="K128" s="118">
        <f t="shared" si="18"/>
      </c>
      <c r="L128" s="118">
        <f t="shared" si="18"/>
      </c>
      <c r="M128" s="118">
        <f t="shared" si="18"/>
      </c>
      <c r="N128" s="118">
        <f t="shared" si="18"/>
      </c>
      <c r="O128" s="118">
        <f t="shared" si="18"/>
      </c>
      <c r="P128" s="116" t="s">
        <v>151</v>
      </c>
      <c r="Q128" s="98"/>
      <c r="R128" s="94"/>
      <c r="S128" s="94"/>
      <c r="T128" s="94"/>
      <c r="U128" s="94"/>
      <c r="V128" s="105"/>
      <c r="W128" s="47"/>
    </row>
    <row r="129" spans="2:23" ht="24.75" customHeight="1" thickBot="1">
      <c r="B129" s="49" t="s">
        <v>14</v>
      </c>
      <c r="C129" s="103" t="s">
        <v>152</v>
      </c>
      <c r="D129" s="94"/>
      <c r="E129" s="94"/>
      <c r="F129" s="94"/>
      <c r="G129" s="94"/>
      <c r="H129" s="94"/>
      <c r="I129" s="119" t="str">
        <f aca="true" t="shared" si="19" ref="I129:O129">IF(I114="","",IF(I127&gt;=I126,"OK","OUT"))</f>
        <v>OK</v>
      </c>
      <c r="J129" s="119">
        <f t="shared" si="19"/>
      </c>
      <c r="K129" s="119">
        <f t="shared" si="19"/>
      </c>
      <c r="L129" s="119">
        <f t="shared" si="19"/>
      </c>
      <c r="M129" s="119">
        <f t="shared" si="19"/>
      </c>
      <c r="N129" s="119">
        <f t="shared" si="19"/>
      </c>
      <c r="O129" s="119">
        <f t="shared" si="19"/>
      </c>
      <c r="P129" s="117" t="s">
        <v>153</v>
      </c>
      <c r="Q129" s="20"/>
      <c r="R129" s="9"/>
      <c r="S129" s="9"/>
      <c r="T129" s="9"/>
      <c r="U129" s="9"/>
      <c r="V129" s="9"/>
      <c r="W129" s="47"/>
    </row>
    <row r="130" spans="2:22" ht="15.75" customHeight="1" thickTop="1">
      <c r="B130" s="3"/>
      <c r="C130" s="3"/>
      <c r="D130" s="3"/>
      <c r="E130" s="3"/>
      <c r="F130" s="3"/>
      <c r="G130" s="3"/>
      <c r="H130" s="3"/>
      <c r="I130" s="3"/>
      <c r="J130" s="3"/>
      <c r="K130" s="3"/>
      <c r="L130" s="3"/>
      <c r="M130" s="3"/>
      <c r="N130" s="3"/>
      <c r="O130" s="3"/>
      <c r="P130" s="3"/>
      <c r="Q130" s="3"/>
      <c r="R130" s="3"/>
      <c r="S130" s="3"/>
      <c r="T130" s="3"/>
      <c r="U130" s="3"/>
      <c r="V130" s="3"/>
    </row>
    <row r="131" ht="15.75" customHeight="1" thickBot="1"/>
    <row r="132" spans="4:21" ht="27" customHeight="1" thickBot="1" thickTop="1">
      <c r="D132" s="136" t="s">
        <v>241</v>
      </c>
      <c r="E132" s="136"/>
      <c r="F132" s="136"/>
      <c r="G132" s="136"/>
      <c r="H132" s="137"/>
      <c r="I132" s="138" t="s">
        <v>158</v>
      </c>
      <c r="J132" s="136"/>
      <c r="K132" s="136"/>
      <c r="L132" s="136"/>
      <c r="M132" s="136"/>
      <c r="N132" s="136"/>
      <c r="O132" s="136"/>
      <c r="P132" s="136"/>
      <c r="Q132" s="136"/>
      <c r="R132" s="136"/>
      <c r="S132" s="136"/>
      <c r="T132" s="136"/>
      <c r="U132" s="136"/>
    </row>
    <row r="133" spans="4:21" ht="15.75" customHeight="1" thickTop="1">
      <c r="D133" s="3"/>
      <c r="E133" s="3"/>
      <c r="F133" s="3"/>
      <c r="G133" s="3"/>
      <c r="H133" s="3"/>
      <c r="I133" s="3"/>
      <c r="J133" s="3"/>
      <c r="K133" s="3"/>
      <c r="L133" s="3"/>
      <c r="M133" s="3"/>
      <c r="N133" s="3"/>
      <c r="O133" s="3"/>
      <c r="P133" s="3"/>
      <c r="Q133" s="3"/>
      <c r="R133" s="3"/>
      <c r="S133" s="3"/>
      <c r="T133" s="3"/>
      <c r="U133" s="3"/>
    </row>
    <row r="134" spans="3:4" ht="15.75" customHeight="1">
      <c r="C134" s="1" t="s">
        <v>11</v>
      </c>
      <c r="D134" s="14" t="s">
        <v>57</v>
      </c>
    </row>
    <row r="135" ht="15.75" customHeight="1">
      <c r="E135" s="1" t="s">
        <v>58</v>
      </c>
    </row>
    <row r="136" ht="15.75" customHeight="1">
      <c r="E136" s="14" t="s">
        <v>59</v>
      </c>
    </row>
    <row r="137" ht="15.75" customHeight="1">
      <c r="E137" s="14" t="s">
        <v>60</v>
      </c>
    </row>
    <row r="138" spans="5:16" ht="14.25">
      <c r="E138" s="1" t="s">
        <v>61</v>
      </c>
      <c r="L138" s="1" t="s">
        <v>62</v>
      </c>
      <c r="M138" s="1"/>
      <c r="O138" s="1" t="s">
        <v>63</v>
      </c>
      <c r="P138" s="1"/>
    </row>
    <row r="139" ht="15.75" customHeight="1"/>
    <row r="140" spans="5:9" ht="15.75" customHeight="1">
      <c r="E140" s="1" t="s">
        <v>66</v>
      </c>
      <c r="H140" s="11">
        <v>1.2</v>
      </c>
      <c r="I140" s="22" t="s">
        <v>67</v>
      </c>
    </row>
    <row r="141" spans="5:15" ht="15.75" customHeight="1">
      <c r="E141" s="1" t="s">
        <v>68</v>
      </c>
      <c r="H141" s="40">
        <v>10.7</v>
      </c>
      <c r="I141" s="25" t="s">
        <v>69</v>
      </c>
      <c r="J141" s="11">
        <v>0</v>
      </c>
      <c r="K141" s="22" t="s">
        <v>70</v>
      </c>
      <c r="N141" s="36">
        <f>ROUND(H141-J141,1)</f>
        <v>10.7</v>
      </c>
      <c r="O141" s="41" t="s">
        <v>233</v>
      </c>
    </row>
    <row r="142" spans="5:15" ht="15.75" customHeight="1">
      <c r="E142" s="1" t="s">
        <v>71</v>
      </c>
      <c r="H142" s="11">
        <v>10.7</v>
      </c>
      <c r="I142" s="25" t="s">
        <v>69</v>
      </c>
      <c r="J142" s="11">
        <v>0</v>
      </c>
      <c r="K142" s="22" t="s">
        <v>70</v>
      </c>
      <c r="N142" s="36">
        <f>ROUND(H142-J142,1)</f>
        <v>10.7</v>
      </c>
      <c r="O142" s="41" t="s">
        <v>233</v>
      </c>
    </row>
    <row r="143" spans="5:14" ht="15.75" customHeight="1">
      <c r="E143" s="1" t="s">
        <v>72</v>
      </c>
      <c r="H143" s="11">
        <v>13.05</v>
      </c>
      <c r="I143" s="41" t="s">
        <v>7</v>
      </c>
      <c r="J143" s="12"/>
      <c r="K143" s="1"/>
      <c r="N143" s="16"/>
    </row>
    <row r="144" spans="5:11" ht="15.75" customHeight="1">
      <c r="E144" s="1" t="s">
        <v>73</v>
      </c>
      <c r="H144" s="11">
        <v>2.25</v>
      </c>
      <c r="I144" s="22" t="s">
        <v>74</v>
      </c>
      <c r="J144" s="13"/>
      <c r="K144" s="1"/>
    </row>
    <row r="145" spans="5:10" ht="15.75" customHeight="1">
      <c r="E145" s="1" t="s">
        <v>75</v>
      </c>
      <c r="H145" s="42">
        <f>ROUND(H143+H144,1)</f>
        <v>15.3</v>
      </c>
      <c r="I145" s="41" t="s">
        <v>7</v>
      </c>
      <c r="J145" s="1" t="s">
        <v>76</v>
      </c>
    </row>
    <row r="146" spans="5:9" ht="15.75" customHeight="1">
      <c r="E146" s="1" t="s">
        <v>77</v>
      </c>
      <c r="H146" s="42">
        <f>ROUND(H143/3,2)</f>
        <v>4.35</v>
      </c>
      <c r="I146" s="41" t="s">
        <v>7</v>
      </c>
    </row>
    <row r="147" spans="5:20" ht="15.75" customHeight="1">
      <c r="E147" s="1" t="s">
        <v>78</v>
      </c>
      <c r="H147" s="11">
        <v>187</v>
      </c>
      <c r="I147" s="30"/>
      <c r="J147" s="1" t="s">
        <v>79</v>
      </c>
      <c r="P147" s="26" t="s">
        <v>80</v>
      </c>
      <c r="Q147" s="11">
        <v>30</v>
      </c>
      <c r="R147" s="25" t="s">
        <v>81</v>
      </c>
      <c r="S147" s="19">
        <f>ROUNDDOWN(12.5*Q147/2,0)</f>
        <v>187</v>
      </c>
      <c r="T147" s="30"/>
    </row>
    <row r="148" spans="5:20" ht="15.75" customHeight="1">
      <c r="E148" s="28" t="s">
        <v>82</v>
      </c>
      <c r="H148" s="9"/>
      <c r="J148" s="14" t="s">
        <v>83</v>
      </c>
      <c r="Q148" s="9"/>
      <c r="R148" s="26" t="s">
        <v>84</v>
      </c>
      <c r="S148" s="11">
        <v>0</v>
      </c>
      <c r="T148" s="30"/>
    </row>
    <row r="149" ht="15.75" customHeight="1">
      <c r="S149" s="9"/>
    </row>
    <row r="150" spans="3:22" ht="15.75" customHeight="1">
      <c r="C150" s="31" t="s">
        <v>85</v>
      </c>
      <c r="D150" s="1" t="s">
        <v>86</v>
      </c>
      <c r="I150" s="19">
        <f>ROUND(H140,1)</f>
        <v>1.2</v>
      </c>
      <c r="J150" s="22" t="s">
        <v>87</v>
      </c>
      <c r="K150" s="19">
        <f>ROUND(H147,1)</f>
        <v>187</v>
      </c>
      <c r="L150" s="25" t="s">
        <v>88</v>
      </c>
      <c r="M150" s="19">
        <f>ROUND(N141,1)</f>
        <v>10.7</v>
      </c>
      <c r="N150" s="25" t="s">
        <v>89</v>
      </c>
      <c r="O150" s="19">
        <f>ROUND(H143,2)</f>
        <v>13.05</v>
      </c>
      <c r="P150" s="25" t="s">
        <v>90</v>
      </c>
      <c r="Q150" s="19">
        <f>ROUND(N142,2)</f>
        <v>10.7</v>
      </c>
      <c r="R150" s="25" t="s">
        <v>89</v>
      </c>
      <c r="S150" s="19">
        <f>ROUND(H144,2)</f>
        <v>2.25</v>
      </c>
      <c r="T150" s="43" t="s">
        <v>91</v>
      </c>
      <c r="U150" s="19">
        <f>ROUND(I150*5.14*K150+(M150*O150+Q150*S150),0)</f>
        <v>1317</v>
      </c>
      <c r="V150" s="41" t="s">
        <v>232</v>
      </c>
    </row>
    <row r="151" spans="9:21" ht="15.75" customHeight="1">
      <c r="I151" s="9"/>
      <c r="K151" s="9"/>
      <c r="M151" s="9"/>
      <c r="O151" s="9"/>
      <c r="Q151" s="9"/>
      <c r="S151" s="9"/>
      <c r="U151" s="9"/>
    </row>
    <row r="152" spans="4:9" ht="15.75" customHeight="1">
      <c r="D152" s="36" t="s">
        <v>93</v>
      </c>
      <c r="E152" s="30"/>
      <c r="I152" s="14" t="s">
        <v>94</v>
      </c>
    </row>
    <row r="153" spans="4:11" ht="15.75" customHeight="1">
      <c r="D153" s="9"/>
      <c r="K153" s="14" t="s">
        <v>95</v>
      </c>
    </row>
    <row r="154" ht="15.75" customHeight="1">
      <c r="K154" s="91"/>
    </row>
    <row r="155" ht="15.75" customHeight="1"/>
    <row r="156" ht="15.75" customHeight="1"/>
    <row r="157" spans="8:15" ht="15.75" customHeight="1">
      <c r="H157" s="44" t="s">
        <v>229</v>
      </c>
      <c r="M157" s="1" t="s">
        <v>96</v>
      </c>
      <c r="N157" s="19">
        <f>ROUND(H145-N165,1)</f>
        <v>8.7</v>
      </c>
      <c r="O157" s="41" t="s">
        <v>7</v>
      </c>
    </row>
    <row r="158" ht="15.75" customHeight="1">
      <c r="N158" s="9"/>
    </row>
    <row r="159" spans="4:18" ht="15.75" customHeight="1">
      <c r="D159" s="26" t="s">
        <v>97</v>
      </c>
      <c r="E159" s="19">
        <f>ROUND(H145,2)</f>
        <v>15.3</v>
      </c>
      <c r="F159" s="41" t="s">
        <v>7</v>
      </c>
      <c r="J159" s="26" t="s">
        <v>98</v>
      </c>
      <c r="K159" s="19">
        <f>ROUND(H143,2)</f>
        <v>13.05</v>
      </c>
      <c r="L159" s="41" t="s">
        <v>7</v>
      </c>
      <c r="P159" s="1" t="s">
        <v>99</v>
      </c>
      <c r="Q159" s="19">
        <f>ROUND(N141,2)</f>
        <v>10.7</v>
      </c>
      <c r="R159" s="41" t="s">
        <v>234</v>
      </c>
    </row>
    <row r="160" spans="5:17" ht="15.75" customHeight="1">
      <c r="E160" s="9"/>
      <c r="K160" s="9"/>
      <c r="P160" s="1" t="s">
        <v>100</v>
      </c>
      <c r="Q160" s="9"/>
    </row>
    <row r="161" ht="15.75" customHeight="1"/>
    <row r="162" ht="15.75" customHeight="1"/>
    <row r="163" spans="5:7" ht="15.75" customHeight="1">
      <c r="E163" s="14" t="s">
        <v>101</v>
      </c>
      <c r="F163" s="19">
        <f>ROUND(H146,2)</f>
        <v>4.35</v>
      </c>
      <c r="G163" s="41" t="s">
        <v>7</v>
      </c>
    </row>
    <row r="164" ht="15.75" customHeight="1">
      <c r="F164" s="9"/>
    </row>
    <row r="165" spans="5:15" ht="15.75" customHeight="1">
      <c r="E165" s="14">
        <v>1</v>
      </c>
      <c r="M165" s="14" t="s">
        <v>102</v>
      </c>
      <c r="N165" s="19">
        <f>ROUND(H146+H144,1)</f>
        <v>6.6</v>
      </c>
      <c r="O165" s="41" t="s">
        <v>7</v>
      </c>
    </row>
    <row r="166" spans="5:18" ht="15.75" customHeight="1">
      <c r="E166" s="33">
        <v>2</v>
      </c>
      <c r="H166" s="14" t="s">
        <v>103</v>
      </c>
      <c r="N166" s="9"/>
      <c r="P166" s="1" t="s">
        <v>104</v>
      </c>
      <c r="Q166" s="11">
        <v>11</v>
      </c>
      <c r="R166" s="41" t="s">
        <v>234</v>
      </c>
    </row>
    <row r="167" spans="10:22" ht="15.75" customHeight="1">
      <c r="J167" s="26" t="s">
        <v>105</v>
      </c>
      <c r="K167" s="19">
        <f>ROUND(H144,2)</f>
        <v>2.25</v>
      </c>
      <c r="L167" s="41" t="s">
        <v>7</v>
      </c>
      <c r="P167" s="1" t="s">
        <v>106</v>
      </c>
      <c r="Q167" s="9"/>
      <c r="V167" s="52" t="s">
        <v>232</v>
      </c>
    </row>
    <row r="168" spans="11:23" ht="15.75" customHeight="1">
      <c r="K168" s="9"/>
      <c r="P168" s="1" t="s">
        <v>107</v>
      </c>
      <c r="Q168" s="1"/>
      <c r="R168" s="19">
        <f>ROUND(Q166,2)</f>
        <v>11</v>
      </c>
      <c r="S168" s="25" t="s">
        <v>89</v>
      </c>
      <c r="T168" s="19">
        <f>ROUND(K167,2)</f>
        <v>2.25</v>
      </c>
      <c r="U168" s="25" t="s">
        <v>108</v>
      </c>
      <c r="V168" s="19">
        <f>ROUND(R168*T168,1)</f>
        <v>24.8</v>
      </c>
      <c r="W168" s="30"/>
    </row>
    <row r="169" spans="11:22" ht="15.75" customHeight="1">
      <c r="K169" s="14" t="s">
        <v>109</v>
      </c>
      <c r="R169" s="9"/>
      <c r="T169" s="9"/>
      <c r="V169" s="16" t="s">
        <v>110</v>
      </c>
    </row>
    <row r="170" ht="15.75" customHeight="1"/>
    <row r="171" spans="7:8" ht="15.75" customHeight="1">
      <c r="G171" s="27" t="s">
        <v>111</v>
      </c>
      <c r="H171" s="27"/>
    </row>
    <row r="172" ht="15.75" customHeight="1"/>
    <row r="173" spans="7:8" ht="15.75" customHeight="1">
      <c r="G173" s="27" t="s">
        <v>112</v>
      </c>
      <c r="H173" s="27"/>
    </row>
    <row r="174" spans="4:15" ht="15.75" customHeight="1">
      <c r="D174" s="26" t="s">
        <v>10</v>
      </c>
      <c r="F174" s="26" t="s">
        <v>13</v>
      </c>
      <c r="J174" s="26" t="s">
        <v>9</v>
      </c>
      <c r="M174" s="26" t="s">
        <v>110</v>
      </c>
      <c r="O174" s="14" t="s">
        <v>85</v>
      </c>
    </row>
    <row r="175" spans="3:17" ht="15.75" customHeight="1">
      <c r="C175" s="31"/>
      <c r="D175" s="140" t="s">
        <v>113</v>
      </c>
      <c r="F175" s="1" t="s">
        <v>114</v>
      </c>
      <c r="H175" s="139" t="s">
        <v>90</v>
      </c>
      <c r="J175" s="1" t="s">
        <v>115</v>
      </c>
      <c r="L175" s="139" t="s">
        <v>90</v>
      </c>
      <c r="M175" s="139" t="s">
        <v>116</v>
      </c>
      <c r="N175" s="139" t="s">
        <v>117</v>
      </c>
      <c r="O175" s="140" t="s">
        <v>159</v>
      </c>
      <c r="P175" s="1"/>
      <c r="Q175" s="139" t="s">
        <v>0</v>
      </c>
    </row>
    <row r="176" spans="4:17" ht="15.75" customHeight="1">
      <c r="D176" s="140"/>
      <c r="E176" s="29" t="s">
        <v>238</v>
      </c>
      <c r="H176" s="139"/>
      <c r="I176" s="29" t="s">
        <v>240</v>
      </c>
      <c r="L176" s="139"/>
      <c r="M176" s="139"/>
      <c r="N176" s="139"/>
      <c r="O176" s="140"/>
      <c r="Q176" s="139"/>
    </row>
    <row r="177" spans="5:9" ht="15.75" customHeight="1">
      <c r="E177" s="1"/>
      <c r="I177" s="1"/>
    </row>
    <row r="178" ht="15.75" customHeight="1" thickBot="1"/>
    <row r="179" spans="2:23" ht="24.75" customHeight="1" thickBot="1" thickTop="1">
      <c r="B179" s="46" t="s">
        <v>17</v>
      </c>
      <c r="C179" s="2" t="s">
        <v>119</v>
      </c>
      <c r="D179" s="3"/>
      <c r="E179" s="4"/>
      <c r="F179" s="4"/>
      <c r="G179" s="4"/>
      <c r="H179" s="106" t="s">
        <v>120</v>
      </c>
      <c r="I179" s="109">
        <v>800</v>
      </c>
      <c r="J179" s="5">
        <v>700</v>
      </c>
      <c r="K179" s="5"/>
      <c r="L179" s="5"/>
      <c r="M179" s="5"/>
      <c r="N179" s="5"/>
      <c r="O179" s="5"/>
      <c r="P179" s="112" t="s">
        <v>121</v>
      </c>
      <c r="Q179" s="6"/>
      <c r="R179" s="3"/>
      <c r="S179" s="3"/>
      <c r="T179" s="3"/>
      <c r="U179" s="3"/>
      <c r="V179" s="3"/>
      <c r="W179" s="47"/>
    </row>
    <row r="180" spans="2:23" ht="24.75" customHeight="1" thickTop="1">
      <c r="B180" s="46" t="s">
        <v>122</v>
      </c>
      <c r="C180" s="103" t="s">
        <v>160</v>
      </c>
      <c r="D180" s="94"/>
      <c r="E180" s="95"/>
      <c r="F180" s="96"/>
      <c r="G180" s="96"/>
      <c r="H180" s="107" t="s">
        <v>20</v>
      </c>
      <c r="I180" s="110">
        <v>6000</v>
      </c>
      <c r="J180" s="97">
        <v>4500</v>
      </c>
      <c r="K180" s="97"/>
      <c r="L180" s="97"/>
      <c r="M180" s="97"/>
      <c r="N180" s="97"/>
      <c r="O180" s="97"/>
      <c r="P180" s="113" t="s">
        <v>161</v>
      </c>
      <c r="Q180" s="98"/>
      <c r="R180" s="120"/>
      <c r="S180" s="98"/>
      <c r="T180" s="121"/>
      <c r="U180" s="121"/>
      <c r="V180" s="122"/>
      <c r="W180" s="50"/>
    </row>
    <row r="181" spans="2:23" ht="24.75" customHeight="1">
      <c r="B181" s="49" t="s">
        <v>3</v>
      </c>
      <c r="C181" s="8" t="s">
        <v>126</v>
      </c>
      <c r="D181" s="9"/>
      <c r="E181" s="9"/>
      <c r="F181" s="10"/>
      <c r="G181" s="10"/>
      <c r="H181" s="39" t="s">
        <v>20</v>
      </c>
      <c r="I181" s="74">
        <v>6283</v>
      </c>
      <c r="J181" s="11">
        <v>4810</v>
      </c>
      <c r="K181" s="11"/>
      <c r="L181" s="11"/>
      <c r="M181" s="11"/>
      <c r="N181" s="11"/>
      <c r="O181" s="11"/>
      <c r="P181" s="114" t="s">
        <v>127</v>
      </c>
      <c r="Q181" s="12"/>
      <c r="R181" s="9"/>
      <c r="S181" s="9"/>
      <c r="T181" s="9"/>
      <c r="U181" s="9"/>
      <c r="V181" s="9"/>
      <c r="W181" s="47"/>
    </row>
    <row r="182" spans="2:23" ht="24.75" customHeight="1">
      <c r="B182" s="49" t="s">
        <v>5</v>
      </c>
      <c r="C182" s="8" t="s">
        <v>128</v>
      </c>
      <c r="D182" s="9"/>
      <c r="E182" s="9"/>
      <c r="F182" s="10"/>
      <c r="G182" s="10"/>
      <c r="H182" s="39" t="s">
        <v>20</v>
      </c>
      <c r="I182" s="74">
        <v>0</v>
      </c>
      <c r="J182" s="11">
        <v>0</v>
      </c>
      <c r="K182" s="11"/>
      <c r="L182" s="11"/>
      <c r="M182" s="11"/>
      <c r="N182" s="11"/>
      <c r="O182" s="11"/>
      <c r="P182" s="115"/>
      <c r="Q182" s="13"/>
      <c r="W182" s="47"/>
    </row>
    <row r="183" spans="2:23" ht="24.75" customHeight="1">
      <c r="B183" s="49" t="s">
        <v>6</v>
      </c>
      <c r="C183" s="8" t="s">
        <v>129</v>
      </c>
      <c r="D183" s="9"/>
      <c r="E183" s="9"/>
      <c r="F183" s="10"/>
      <c r="G183" s="10"/>
      <c r="H183" s="39" t="s">
        <v>20</v>
      </c>
      <c r="I183" s="74">
        <v>6283</v>
      </c>
      <c r="J183" s="11">
        <v>4810</v>
      </c>
      <c r="K183" s="11"/>
      <c r="L183" s="11"/>
      <c r="M183" s="11"/>
      <c r="N183" s="11"/>
      <c r="O183" s="11"/>
      <c r="P183" s="114" t="s">
        <v>130</v>
      </c>
      <c r="Q183" s="12"/>
      <c r="R183" s="9"/>
      <c r="S183" s="9"/>
      <c r="T183" s="9"/>
      <c r="U183" s="9"/>
      <c r="V183" s="9"/>
      <c r="W183" s="47"/>
    </row>
    <row r="184" spans="2:23" ht="24.75" customHeight="1" thickBot="1">
      <c r="B184" s="49" t="s">
        <v>110</v>
      </c>
      <c r="C184" s="15" t="s">
        <v>131</v>
      </c>
      <c r="D184" s="9"/>
      <c r="E184" s="9"/>
      <c r="F184" s="16"/>
      <c r="G184" s="16"/>
      <c r="H184" s="19" t="s">
        <v>92</v>
      </c>
      <c r="I184" s="74">
        <v>24.8</v>
      </c>
      <c r="J184" s="11">
        <v>24.8</v>
      </c>
      <c r="K184" s="11"/>
      <c r="L184" s="11"/>
      <c r="M184" s="11"/>
      <c r="N184" s="11"/>
      <c r="O184" s="11"/>
      <c r="P184" s="114" t="s">
        <v>132</v>
      </c>
      <c r="Q184" s="12"/>
      <c r="R184" s="9"/>
      <c r="S184" s="9"/>
      <c r="T184" s="9"/>
      <c r="U184" s="9"/>
      <c r="V184" s="9"/>
      <c r="W184" s="47"/>
    </row>
    <row r="185" spans="2:23" ht="24.75" customHeight="1" thickTop="1">
      <c r="B185" s="46" t="s">
        <v>133</v>
      </c>
      <c r="C185" s="103" t="s">
        <v>134</v>
      </c>
      <c r="D185" s="94"/>
      <c r="E185" s="94"/>
      <c r="F185" s="95"/>
      <c r="G185" s="95"/>
      <c r="H185" s="108" t="s">
        <v>7</v>
      </c>
      <c r="I185" s="111">
        <f aca="true" t="shared" si="20" ref="I185:O185">IF(I179="","",ROUND(I179/1000+$H$14,2))</f>
        <v>3.05</v>
      </c>
      <c r="J185" s="104">
        <f t="shared" si="20"/>
        <v>2.95</v>
      </c>
      <c r="K185" s="104">
        <f t="shared" si="20"/>
      </c>
      <c r="L185" s="104">
        <f t="shared" si="20"/>
      </c>
      <c r="M185" s="104">
        <f t="shared" si="20"/>
      </c>
      <c r="N185" s="104">
        <f t="shared" si="20"/>
      </c>
      <c r="O185" s="104">
        <f t="shared" si="20"/>
      </c>
      <c r="P185" s="113" t="s">
        <v>135</v>
      </c>
      <c r="Q185" s="98"/>
      <c r="R185" s="94"/>
      <c r="S185" s="94"/>
      <c r="T185" s="94"/>
      <c r="U185" s="94"/>
      <c r="V185" s="105"/>
      <c r="W185" s="47"/>
    </row>
    <row r="186" spans="2:23" ht="24.75" customHeight="1">
      <c r="B186" s="49" t="s">
        <v>34</v>
      </c>
      <c r="C186" s="15" t="s">
        <v>136</v>
      </c>
      <c r="D186" s="9"/>
      <c r="E186" s="9"/>
      <c r="F186" s="16"/>
      <c r="G186" s="16"/>
      <c r="H186" s="36" t="s">
        <v>7</v>
      </c>
      <c r="I186" s="79">
        <f aca="true" t="shared" si="21" ref="I186:O186">IF(I179="","",ROUND(I179/1000+$H$14+$H146,2))</f>
        <v>7.4</v>
      </c>
      <c r="J186" s="17">
        <f t="shared" si="21"/>
        <v>7.3</v>
      </c>
      <c r="K186" s="17">
        <f t="shared" si="21"/>
      </c>
      <c r="L186" s="17">
        <f t="shared" si="21"/>
      </c>
      <c r="M186" s="17">
        <f t="shared" si="21"/>
      </c>
      <c r="N186" s="17">
        <f t="shared" si="21"/>
      </c>
      <c r="O186" s="17">
        <f t="shared" si="21"/>
      </c>
      <c r="P186" s="114" t="s">
        <v>137</v>
      </c>
      <c r="Q186" s="18"/>
      <c r="R186" s="9"/>
      <c r="S186" s="9"/>
      <c r="T186" s="9"/>
      <c r="U186" s="9"/>
      <c r="V186" s="9"/>
      <c r="W186" s="47"/>
    </row>
    <row r="187" spans="2:23" ht="24.75" customHeight="1">
      <c r="B187" s="49" t="s">
        <v>12</v>
      </c>
      <c r="C187" s="15" t="s">
        <v>162</v>
      </c>
      <c r="D187" s="9"/>
      <c r="E187" s="9"/>
      <c r="F187" s="9"/>
      <c r="G187" s="10"/>
      <c r="H187" s="39" t="s">
        <v>20</v>
      </c>
      <c r="I187" s="84">
        <f aca="true" t="shared" si="22" ref="I187:O187">IF(I180="","",ROUND(I180*I181/I183,1))</f>
        <v>6000</v>
      </c>
      <c r="J187" s="19">
        <f t="shared" si="22"/>
        <v>4500</v>
      </c>
      <c r="K187" s="19">
        <f t="shared" si="22"/>
      </c>
      <c r="L187" s="19">
        <f t="shared" si="22"/>
      </c>
      <c r="M187" s="19">
        <f t="shared" si="22"/>
      </c>
      <c r="N187" s="19">
        <f t="shared" si="22"/>
      </c>
      <c r="O187" s="19">
        <f t="shared" si="22"/>
      </c>
      <c r="P187" s="114" t="s">
        <v>139</v>
      </c>
      <c r="Q187" s="12"/>
      <c r="R187" s="9"/>
      <c r="S187" s="9"/>
      <c r="T187" s="9"/>
      <c r="U187" s="9"/>
      <c r="V187" s="9"/>
      <c r="W187" s="47"/>
    </row>
    <row r="188" spans="2:23" ht="24.75" customHeight="1">
      <c r="B188" s="49" t="s">
        <v>140</v>
      </c>
      <c r="C188" s="15" t="s">
        <v>163</v>
      </c>
      <c r="D188" s="9"/>
      <c r="E188" s="9"/>
      <c r="F188" s="9"/>
      <c r="G188" s="9"/>
      <c r="H188" s="39" t="s">
        <v>20</v>
      </c>
      <c r="I188" s="84">
        <f aca="true" t="shared" si="23" ref="I188:O188">IF(I180="","",ROUND(I180*I182/I183,1))</f>
        <v>0</v>
      </c>
      <c r="J188" s="19">
        <f t="shared" si="23"/>
        <v>0</v>
      </c>
      <c r="K188" s="19">
        <f t="shared" si="23"/>
      </c>
      <c r="L188" s="19">
        <f t="shared" si="23"/>
      </c>
      <c r="M188" s="19">
        <f t="shared" si="23"/>
      </c>
      <c r="N188" s="19">
        <f t="shared" si="23"/>
      </c>
      <c r="O188" s="19">
        <f t="shared" si="23"/>
      </c>
      <c r="P188" s="114" t="s">
        <v>142</v>
      </c>
      <c r="Q188" s="12"/>
      <c r="R188" s="9"/>
      <c r="S188" s="9"/>
      <c r="T188" s="9"/>
      <c r="U188" s="9"/>
      <c r="V188" s="9"/>
      <c r="W188" s="47"/>
    </row>
    <row r="189" spans="2:23" ht="24.75" customHeight="1">
      <c r="B189" s="49" t="s">
        <v>13</v>
      </c>
      <c r="C189" s="15" t="s">
        <v>143</v>
      </c>
      <c r="D189" s="9"/>
      <c r="E189" s="9"/>
      <c r="F189" s="9"/>
      <c r="G189" s="9"/>
      <c r="H189" s="19" t="s">
        <v>92</v>
      </c>
      <c r="I189" s="84">
        <f aca="true" t="shared" si="24" ref="I189:O189">IF(I179="","",ROUND(I187/(0.785*I185*I185),1))</f>
        <v>821.6</v>
      </c>
      <c r="J189" s="19">
        <f t="shared" si="24"/>
        <v>658.7</v>
      </c>
      <c r="K189" s="19">
        <f t="shared" si="24"/>
      </c>
      <c r="L189" s="19">
        <f t="shared" si="24"/>
      </c>
      <c r="M189" s="19">
        <f t="shared" si="24"/>
      </c>
      <c r="N189" s="19">
        <f t="shared" si="24"/>
      </c>
      <c r="O189" s="19">
        <f t="shared" si="24"/>
      </c>
      <c r="P189" s="114" t="s">
        <v>144</v>
      </c>
      <c r="Q189" s="12"/>
      <c r="R189" s="9"/>
      <c r="S189" s="9"/>
      <c r="T189" s="9"/>
      <c r="U189" s="9"/>
      <c r="V189" s="9"/>
      <c r="W189" s="47"/>
    </row>
    <row r="190" spans="2:23" ht="24.75" customHeight="1">
      <c r="B190" s="49" t="s">
        <v>9</v>
      </c>
      <c r="C190" s="15" t="s">
        <v>145</v>
      </c>
      <c r="D190" s="9"/>
      <c r="E190" s="9"/>
      <c r="F190" s="9"/>
      <c r="G190" s="9"/>
      <c r="H190" s="19" t="s">
        <v>92</v>
      </c>
      <c r="I190" s="84">
        <f aca="true" t="shared" si="25" ref="I190:O190">IF(I179="","",ROUND(I188/(0.785*I186*I186),1))</f>
        <v>0</v>
      </c>
      <c r="J190" s="19">
        <f t="shared" si="25"/>
        <v>0</v>
      </c>
      <c r="K190" s="19">
        <f t="shared" si="25"/>
      </c>
      <c r="L190" s="19">
        <f t="shared" si="25"/>
      </c>
      <c r="M190" s="19">
        <f t="shared" si="25"/>
      </c>
      <c r="N190" s="19">
        <f t="shared" si="25"/>
      </c>
      <c r="O190" s="19">
        <f t="shared" si="25"/>
      </c>
      <c r="P190" s="114" t="s">
        <v>144</v>
      </c>
      <c r="Q190" s="12"/>
      <c r="R190" s="9"/>
      <c r="S190" s="9"/>
      <c r="T190" s="9"/>
      <c r="U190" s="9"/>
      <c r="V190" s="9"/>
      <c r="W190" s="47"/>
    </row>
    <row r="191" spans="2:23" ht="24.75" customHeight="1">
      <c r="B191" s="49" t="s">
        <v>10</v>
      </c>
      <c r="C191" s="8" t="s">
        <v>146</v>
      </c>
      <c r="D191" s="9"/>
      <c r="E191" s="9"/>
      <c r="F191" s="9"/>
      <c r="G191" s="9"/>
      <c r="H191" s="19" t="s">
        <v>92</v>
      </c>
      <c r="I191" s="84">
        <f aca="true" t="shared" si="26" ref="I191:O191">IF(I179="","",ROUND(I189+I190+I184,1))</f>
        <v>846.4</v>
      </c>
      <c r="J191" s="19">
        <f t="shared" si="26"/>
        <v>683.5</v>
      </c>
      <c r="K191" s="19">
        <f t="shared" si="26"/>
      </c>
      <c r="L191" s="19">
        <f t="shared" si="26"/>
      </c>
      <c r="M191" s="19">
        <f t="shared" si="26"/>
      </c>
      <c r="N191" s="19">
        <f t="shared" si="26"/>
      </c>
      <c r="O191" s="19">
        <f t="shared" si="26"/>
      </c>
      <c r="P191" s="114" t="s">
        <v>144</v>
      </c>
      <c r="Q191" s="12"/>
      <c r="R191" s="9"/>
      <c r="S191" s="9"/>
      <c r="T191" s="9"/>
      <c r="U191" s="9"/>
      <c r="V191" s="9"/>
      <c r="W191" s="47"/>
    </row>
    <row r="192" spans="2:23" ht="24.75" customHeight="1" thickBot="1">
      <c r="B192" s="49" t="s">
        <v>85</v>
      </c>
      <c r="C192" s="15" t="s">
        <v>164</v>
      </c>
      <c r="D192" s="9"/>
      <c r="E192" s="9"/>
      <c r="F192" s="9"/>
      <c r="G192" s="9"/>
      <c r="H192" s="19" t="s">
        <v>92</v>
      </c>
      <c r="I192" s="84">
        <f aca="true" t="shared" si="27" ref="I192:O192">IF(I179="","",ROUND($U150,1))</f>
        <v>1317</v>
      </c>
      <c r="J192" s="19">
        <f t="shared" si="27"/>
        <v>1317</v>
      </c>
      <c r="K192" s="19">
        <f t="shared" si="27"/>
      </c>
      <c r="L192" s="19">
        <f t="shared" si="27"/>
      </c>
      <c r="M192" s="19">
        <f t="shared" si="27"/>
      </c>
      <c r="N192" s="19">
        <f t="shared" si="27"/>
      </c>
      <c r="O192" s="19">
        <f t="shared" si="27"/>
      </c>
      <c r="P192" s="114" t="s">
        <v>165</v>
      </c>
      <c r="Q192" s="12"/>
      <c r="R192" s="9"/>
      <c r="S192" s="9"/>
      <c r="T192" s="9"/>
      <c r="U192" s="9"/>
      <c r="V192" s="9"/>
      <c r="W192" s="47"/>
    </row>
    <row r="193" spans="2:23" ht="24.75" customHeight="1" thickBot="1" thickTop="1">
      <c r="B193" s="7" t="s">
        <v>166</v>
      </c>
      <c r="C193" s="103" t="s">
        <v>167</v>
      </c>
      <c r="D193" s="94"/>
      <c r="E193" s="94"/>
      <c r="F193" s="94"/>
      <c r="G193" s="94"/>
      <c r="H193" s="95"/>
      <c r="I193" s="118">
        <f aca="true" t="shared" si="28" ref="I193:O193">IF(I191="","",ROUND(I191/I192,2))</f>
        <v>0.64</v>
      </c>
      <c r="J193" s="118">
        <f t="shared" si="28"/>
        <v>0.52</v>
      </c>
      <c r="K193" s="118">
        <f t="shared" si="28"/>
      </c>
      <c r="L193" s="118">
        <f t="shared" si="28"/>
      </c>
      <c r="M193" s="118">
        <f t="shared" si="28"/>
      </c>
      <c r="N193" s="118">
        <f t="shared" si="28"/>
      </c>
      <c r="O193" s="118">
        <f t="shared" si="28"/>
      </c>
      <c r="P193" s="116" t="s">
        <v>168</v>
      </c>
      <c r="Q193" s="98"/>
      <c r="R193" s="94"/>
      <c r="S193" s="94"/>
      <c r="T193" s="94"/>
      <c r="U193" s="94"/>
      <c r="V193" s="105"/>
      <c r="W193" s="47"/>
    </row>
    <row r="194" spans="2:23" ht="24.75" customHeight="1" thickBot="1">
      <c r="B194" s="51"/>
      <c r="C194" s="103" t="s">
        <v>169</v>
      </c>
      <c r="D194" s="94"/>
      <c r="E194" s="94"/>
      <c r="F194" s="94"/>
      <c r="G194" s="94"/>
      <c r="H194" s="94"/>
      <c r="I194" s="119" t="str">
        <f aca="true" t="shared" si="29" ref="I194:O194">IF(I179="","",IF(I192&gt;=I191,"OK","OUT"))</f>
        <v>OK</v>
      </c>
      <c r="J194" s="119" t="str">
        <f t="shared" si="29"/>
        <v>OK</v>
      </c>
      <c r="K194" s="119">
        <f t="shared" si="29"/>
      </c>
      <c r="L194" s="119">
        <f t="shared" si="29"/>
      </c>
      <c r="M194" s="119">
        <f t="shared" si="29"/>
      </c>
      <c r="N194" s="119">
        <f t="shared" si="29"/>
      </c>
      <c r="O194" s="119">
        <f t="shared" si="29"/>
      </c>
      <c r="P194" s="117" t="s">
        <v>170</v>
      </c>
      <c r="Q194" s="20"/>
      <c r="R194" s="9"/>
      <c r="S194" s="9"/>
      <c r="T194" s="9"/>
      <c r="U194" s="9"/>
      <c r="V194" s="9"/>
      <c r="W194" s="47"/>
    </row>
    <row r="195" spans="2:22" ht="15.75" customHeight="1" thickTop="1">
      <c r="B195" s="3"/>
      <c r="C195" s="3"/>
      <c r="D195" s="3"/>
      <c r="E195" s="3"/>
      <c r="F195" s="3"/>
      <c r="G195" s="3"/>
      <c r="H195" s="3"/>
      <c r="I195" s="3"/>
      <c r="J195" s="3"/>
      <c r="K195" s="3"/>
      <c r="L195" s="3"/>
      <c r="M195" s="3"/>
      <c r="N195" s="3"/>
      <c r="O195" s="3"/>
      <c r="P195" s="3"/>
      <c r="Q195" s="3"/>
      <c r="R195" s="3"/>
      <c r="S195" s="3"/>
      <c r="T195" s="3"/>
      <c r="U195" s="3"/>
      <c r="V195" s="3"/>
    </row>
  </sheetData>
  <sheetProtection/>
  <mergeCells count="27">
    <mergeCell ref="D45:D46"/>
    <mergeCell ref="Q45:Q46"/>
    <mergeCell ref="O45:O46"/>
    <mergeCell ref="N45:N46"/>
    <mergeCell ref="M45:M46"/>
    <mergeCell ref="L45:L46"/>
    <mergeCell ref="H45:H46"/>
    <mergeCell ref="N175:N176"/>
    <mergeCell ref="M175:M176"/>
    <mergeCell ref="L175:L176"/>
    <mergeCell ref="D110:D111"/>
    <mergeCell ref="O110:P111"/>
    <mergeCell ref="Q110:Q111"/>
    <mergeCell ref="N110:N111"/>
    <mergeCell ref="M110:M111"/>
    <mergeCell ref="L110:L111"/>
    <mergeCell ref="H110:H111"/>
    <mergeCell ref="H175:H176"/>
    <mergeCell ref="D175:D176"/>
    <mergeCell ref="D2:H2"/>
    <mergeCell ref="I2:U2"/>
    <mergeCell ref="D67:H67"/>
    <mergeCell ref="I67:U67"/>
    <mergeCell ref="D132:H132"/>
    <mergeCell ref="I132:U132"/>
    <mergeCell ref="Q175:Q176"/>
    <mergeCell ref="O175:O176"/>
  </mergeCells>
  <printOptions horizontalCentered="1"/>
  <pageMargins left="0.39375" right="0.20069444444444445" top="0.39375" bottom="0.2125" header="0.512" footer="0.512"/>
  <pageSetup horizontalDpi="600" verticalDpi="600" orientation="portrait" paperSize="9" scale="62" r:id="rId2"/>
  <rowBreaks count="3" manualBreakCount="3">
    <brk id="65" max="22" man="1"/>
    <brk id="130" max="22" man="1"/>
    <brk id="195" max="65535" man="1"/>
  </rowBreaks>
  <drawing r:id="rId1"/>
</worksheet>
</file>

<file path=xl/worksheets/sheet4.xml><?xml version="1.0" encoding="utf-8"?>
<worksheet xmlns="http://schemas.openxmlformats.org/spreadsheetml/2006/main" xmlns:r="http://schemas.openxmlformats.org/officeDocument/2006/relationships">
  <dimension ref="C2:P70"/>
  <sheetViews>
    <sheetView showOutlineSymbols="0" zoomScale="75" zoomScaleNormal="75" zoomScalePageLayoutView="0" workbookViewId="0" topLeftCell="A10">
      <selection activeCell="A1" sqref="A1"/>
    </sheetView>
  </sheetViews>
  <sheetFormatPr defaultColWidth="5.75390625" defaultRowHeight="14.25"/>
  <cols>
    <col min="1" max="3" width="5.75390625" style="14" customWidth="1"/>
    <col min="4" max="5" width="7.75390625" style="14" customWidth="1"/>
    <col min="6" max="8" width="5.75390625" style="14" customWidth="1"/>
    <col min="9" max="9" width="10.75390625" style="14" customWidth="1"/>
    <col min="10" max="12" width="8.75390625" style="14" customWidth="1"/>
    <col min="13" max="14" width="7.75390625" style="14" customWidth="1"/>
    <col min="15" max="15" width="10.625" style="14" customWidth="1"/>
    <col min="16" max="16384" width="5.75390625" style="14" customWidth="1"/>
  </cols>
  <sheetData>
    <row r="1" ht="18.75" customHeight="1" thickBot="1"/>
    <row r="2" spans="3:15" ht="27" customHeight="1" thickBot="1" thickTop="1">
      <c r="C2" s="136" t="s">
        <v>235</v>
      </c>
      <c r="D2" s="136"/>
      <c r="E2" s="136"/>
      <c r="F2" s="137"/>
      <c r="G2" s="138" t="s">
        <v>242</v>
      </c>
      <c r="H2" s="136"/>
      <c r="I2" s="136"/>
      <c r="J2" s="136"/>
      <c r="K2" s="136"/>
      <c r="L2" s="136"/>
      <c r="M2" s="136"/>
      <c r="N2" s="136"/>
      <c r="O2" s="136"/>
    </row>
    <row r="3" spans="3:15" ht="18.75" customHeight="1" thickTop="1">
      <c r="C3" s="4"/>
      <c r="D3" s="3"/>
      <c r="E3" s="3"/>
      <c r="F3" s="3"/>
      <c r="G3" s="3"/>
      <c r="H3" s="3"/>
      <c r="I3" s="3"/>
      <c r="J3" s="3"/>
      <c r="K3" s="3"/>
      <c r="L3" s="3"/>
      <c r="M3" s="3"/>
      <c r="N3" s="3"/>
      <c r="O3" s="3"/>
    </row>
    <row r="4" ht="18.75" customHeight="1">
      <c r="P4" s="54"/>
    </row>
    <row r="5" spans="3:8" ht="18.75" customHeight="1">
      <c r="C5" s="14" t="s">
        <v>171</v>
      </c>
      <c r="F5" s="21" t="s">
        <v>172</v>
      </c>
      <c r="G5" s="41" t="s">
        <v>173</v>
      </c>
      <c r="H5" s="53"/>
    </row>
    <row r="6" spans="3:8" ht="18.75" customHeight="1">
      <c r="C6" s="14" t="s">
        <v>174</v>
      </c>
      <c r="F6" s="21">
        <v>2.05</v>
      </c>
      <c r="G6" s="41" t="s">
        <v>2</v>
      </c>
      <c r="H6" s="53"/>
    </row>
    <row r="7" spans="3:8" ht="18.75" customHeight="1">
      <c r="C7" s="1" t="s">
        <v>175</v>
      </c>
      <c r="F7" s="21">
        <v>15.3</v>
      </c>
      <c r="G7" s="41" t="s">
        <v>2</v>
      </c>
      <c r="H7" s="53"/>
    </row>
    <row r="8" spans="3:14" ht="18.75" customHeight="1">
      <c r="C8" s="1" t="s">
        <v>176</v>
      </c>
      <c r="F8" s="21">
        <v>13.05</v>
      </c>
      <c r="G8" s="41" t="s">
        <v>2</v>
      </c>
      <c r="H8" s="53"/>
      <c r="N8" s="14" t="s">
        <v>177</v>
      </c>
    </row>
    <row r="9" spans="3:11" ht="18.75" customHeight="1">
      <c r="C9" s="1" t="s">
        <v>178</v>
      </c>
      <c r="F9" s="19">
        <f>ROUND(F7-F8,2)</f>
        <v>2.25</v>
      </c>
      <c r="G9" s="22" t="s">
        <v>179</v>
      </c>
      <c r="H9" s="1"/>
      <c r="I9" s="1"/>
      <c r="K9" s="26"/>
    </row>
    <row r="10" spans="3:11" ht="18.75" customHeight="1">
      <c r="C10" s="1"/>
      <c r="F10" s="16"/>
      <c r="G10" s="1"/>
      <c r="H10" s="1"/>
      <c r="I10" s="1"/>
      <c r="K10" s="26" t="s">
        <v>180</v>
      </c>
    </row>
    <row r="11" spans="3:14" ht="18.75" customHeight="1">
      <c r="C11" s="1" t="s">
        <v>181</v>
      </c>
      <c r="G11" s="1"/>
      <c r="H11" s="1"/>
      <c r="I11" s="1"/>
      <c r="N11" s="1" t="s">
        <v>182</v>
      </c>
    </row>
    <row r="12" spans="3:9" ht="18.75" customHeight="1">
      <c r="C12" s="1"/>
      <c r="G12" s="1"/>
      <c r="H12" s="1"/>
      <c r="I12" s="1"/>
    </row>
    <row r="13" spans="3:9" ht="18.75" customHeight="1">
      <c r="C13" s="33" t="s">
        <v>183</v>
      </c>
      <c r="G13" s="1"/>
      <c r="H13" s="1"/>
      <c r="I13" s="1"/>
    </row>
    <row r="14" spans="3:14" ht="18.75" customHeight="1">
      <c r="C14" s="1"/>
      <c r="D14" s="1" t="s">
        <v>184</v>
      </c>
      <c r="G14" s="1"/>
      <c r="H14" s="1"/>
      <c r="I14" s="1"/>
      <c r="L14" s="26" t="s">
        <v>185</v>
      </c>
      <c r="N14" s="14" t="s">
        <v>186</v>
      </c>
    </row>
    <row r="15" spans="3:14" ht="18.75" customHeight="1">
      <c r="C15" s="1"/>
      <c r="D15" s="1" t="s">
        <v>187</v>
      </c>
      <c r="G15" s="1"/>
      <c r="H15" s="1"/>
      <c r="I15" s="1"/>
      <c r="N15" s="1" t="s">
        <v>188</v>
      </c>
    </row>
    <row r="16" spans="3:9" ht="18.75" customHeight="1">
      <c r="C16" s="33" t="s">
        <v>189</v>
      </c>
      <c r="G16" s="1"/>
      <c r="H16" s="1"/>
      <c r="I16" s="1"/>
    </row>
    <row r="17" spans="3:9" ht="18.75" customHeight="1">
      <c r="C17" s="1"/>
      <c r="D17" s="33" t="s">
        <v>190</v>
      </c>
      <c r="G17" s="1"/>
      <c r="H17" s="1"/>
      <c r="I17" s="1"/>
    </row>
    <row r="18" spans="3:12" ht="18.75" customHeight="1">
      <c r="C18" s="1" t="s">
        <v>191</v>
      </c>
      <c r="G18" s="1"/>
      <c r="H18" s="1"/>
      <c r="I18" s="1"/>
      <c r="K18" s="33"/>
      <c r="L18" s="14" t="s">
        <v>230</v>
      </c>
    </row>
    <row r="19" spans="3:12" ht="18.75" customHeight="1">
      <c r="C19" s="1"/>
      <c r="E19" s="1" t="s">
        <v>192</v>
      </c>
      <c r="G19" s="1"/>
      <c r="H19" s="1"/>
      <c r="I19" s="1"/>
      <c r="L19" s="14" t="s">
        <v>231</v>
      </c>
    </row>
    <row r="20" ht="18.75" customHeight="1" thickBot="1">
      <c r="I20" s="1" t="s">
        <v>193</v>
      </c>
    </row>
    <row r="21" spans="3:16" ht="15" customHeight="1" thickTop="1">
      <c r="C21" s="55"/>
      <c r="D21" s="67" t="s">
        <v>194</v>
      </c>
      <c r="E21" s="85" t="s">
        <v>195</v>
      </c>
      <c r="F21" s="71" t="s">
        <v>196</v>
      </c>
      <c r="G21" s="57"/>
      <c r="H21" s="57"/>
      <c r="I21" s="67" t="s">
        <v>197</v>
      </c>
      <c r="J21" s="76" t="s">
        <v>198</v>
      </c>
      <c r="K21" s="76" t="s">
        <v>199</v>
      </c>
      <c r="L21" s="76" t="s">
        <v>200</v>
      </c>
      <c r="M21" s="80" t="s">
        <v>201</v>
      </c>
      <c r="N21" s="3"/>
      <c r="O21" s="3"/>
      <c r="P21" s="47"/>
    </row>
    <row r="22" spans="3:16" ht="15" customHeight="1">
      <c r="C22" s="47"/>
      <c r="D22" s="68" t="s">
        <v>202</v>
      </c>
      <c r="E22" s="86" t="s">
        <v>203</v>
      </c>
      <c r="F22" s="72"/>
      <c r="G22" s="58"/>
      <c r="H22" s="58"/>
      <c r="I22" s="68" t="s">
        <v>204</v>
      </c>
      <c r="J22" s="77"/>
      <c r="K22" s="77" t="s">
        <v>205</v>
      </c>
      <c r="L22" s="77" t="s">
        <v>206</v>
      </c>
      <c r="M22" s="81" t="s">
        <v>207</v>
      </c>
      <c r="N22" s="59"/>
      <c r="O22" s="59"/>
      <c r="P22" s="47"/>
    </row>
    <row r="23" spans="3:16" ht="15" customHeight="1" thickBot="1">
      <c r="C23" s="47"/>
      <c r="D23" s="68" t="s">
        <v>7</v>
      </c>
      <c r="E23" s="87" t="s">
        <v>7</v>
      </c>
      <c r="F23" s="72"/>
      <c r="G23" s="58"/>
      <c r="H23" s="58"/>
      <c r="I23" s="88" t="s">
        <v>234</v>
      </c>
      <c r="J23" s="89" t="s">
        <v>232</v>
      </c>
      <c r="K23" s="89" t="s">
        <v>232</v>
      </c>
      <c r="L23" s="89" t="s">
        <v>232</v>
      </c>
      <c r="M23" s="82" t="s">
        <v>200</v>
      </c>
      <c r="N23" s="21" t="s">
        <v>208</v>
      </c>
      <c r="O23" s="36" t="s">
        <v>209</v>
      </c>
      <c r="P23" s="47"/>
    </row>
    <row r="24" spans="3:16" ht="15" customHeight="1">
      <c r="C24" s="62">
        <v>1</v>
      </c>
      <c r="D24" s="69">
        <v>0.8</v>
      </c>
      <c r="E24" s="63">
        <f>IF(D24="","",ROUND(D24,2))</f>
        <v>0.8</v>
      </c>
      <c r="F24" s="73" t="s">
        <v>210</v>
      </c>
      <c r="G24" s="64"/>
      <c r="H24" s="64"/>
      <c r="I24" s="69">
        <v>18</v>
      </c>
      <c r="J24" s="78">
        <f aca="true" t="shared" si="0" ref="J24:J68">IF(I24="","",ROUND(I24*E24,1))</f>
        <v>14.4</v>
      </c>
      <c r="K24" s="125">
        <f>IF(J24="","",SUM(J24))</f>
        <v>14.4</v>
      </c>
      <c r="L24" s="123">
        <f aca="true" t="shared" si="1" ref="L24:L68">IF(K24="","",ROUND(K24/D24,1))</f>
        <v>18</v>
      </c>
      <c r="M24" s="83">
        <f aca="true" t="shared" si="2" ref="M24:M43">IF(L24="","",IF(AND(D24&gt;=$F$8,D24&lt;=$F$7),ROUND(L24,0),""))</f>
      </c>
      <c r="N24" s="65"/>
      <c r="O24" s="66">
        <f aca="true" t="shared" si="3" ref="O24:O68">IF(M24="","",ROUND(M24*N24,1))</f>
      </c>
      <c r="P24" s="47"/>
    </row>
    <row r="25" spans="3:16" ht="15" customHeight="1">
      <c r="C25" s="8">
        <v>2</v>
      </c>
      <c r="D25" s="70">
        <v>1.9</v>
      </c>
      <c r="E25" s="19">
        <f aca="true" t="shared" si="4" ref="E25:E68">IF(D25="","",ROUND(D25-D24,2))</f>
        <v>1.1</v>
      </c>
      <c r="F25" s="74" t="s">
        <v>210</v>
      </c>
      <c r="G25" s="60"/>
      <c r="H25" s="60"/>
      <c r="I25" s="70">
        <v>18</v>
      </c>
      <c r="J25" s="79">
        <f t="shared" si="0"/>
        <v>19.8</v>
      </c>
      <c r="K25" s="126">
        <f>IF(J25="","",SUM(J$24:J25))</f>
        <v>34.2</v>
      </c>
      <c r="L25" s="124">
        <f t="shared" si="1"/>
        <v>18</v>
      </c>
      <c r="M25" s="84">
        <f t="shared" si="2"/>
      </c>
      <c r="N25" s="11"/>
      <c r="O25" s="19">
        <f t="shared" si="3"/>
      </c>
      <c r="P25" s="47"/>
    </row>
    <row r="26" spans="3:16" ht="15" customHeight="1">
      <c r="C26" s="8">
        <v>3</v>
      </c>
      <c r="D26" s="70">
        <v>2.05</v>
      </c>
      <c r="E26" s="19">
        <f t="shared" si="4"/>
        <v>0.15</v>
      </c>
      <c r="F26" s="74" t="s">
        <v>211</v>
      </c>
      <c r="G26" s="60"/>
      <c r="H26" s="60"/>
      <c r="I26" s="70">
        <v>16</v>
      </c>
      <c r="J26" s="79">
        <f t="shared" si="0"/>
        <v>2.4</v>
      </c>
      <c r="K26" s="126">
        <f>IF(J26="","",SUM(J$24:J26))</f>
        <v>36.6</v>
      </c>
      <c r="L26" s="124">
        <f t="shared" si="1"/>
        <v>17.9</v>
      </c>
      <c r="M26" s="84">
        <f t="shared" si="2"/>
      </c>
      <c r="N26" s="11"/>
      <c r="O26" s="19">
        <f t="shared" si="3"/>
      </c>
      <c r="P26" s="47"/>
    </row>
    <row r="27" spans="3:16" ht="15" customHeight="1">
      <c r="C27" s="8">
        <v>4</v>
      </c>
      <c r="D27" s="70">
        <v>2.5</v>
      </c>
      <c r="E27" s="19">
        <f t="shared" si="4"/>
        <v>0.45</v>
      </c>
      <c r="F27" s="74" t="s">
        <v>211</v>
      </c>
      <c r="G27" s="60"/>
      <c r="H27" s="60"/>
      <c r="I27" s="70">
        <v>8</v>
      </c>
      <c r="J27" s="79">
        <f t="shared" si="0"/>
        <v>3.6</v>
      </c>
      <c r="K27" s="126">
        <f>IF(J27="","",SUM(J$24:J27))</f>
        <v>40.2</v>
      </c>
      <c r="L27" s="124">
        <f t="shared" si="1"/>
        <v>16.1</v>
      </c>
      <c r="M27" s="84">
        <f t="shared" si="2"/>
      </c>
      <c r="N27" s="11"/>
      <c r="O27" s="19">
        <f t="shared" si="3"/>
      </c>
      <c r="P27" s="47"/>
    </row>
    <row r="28" spans="3:16" ht="15" customHeight="1">
      <c r="C28" s="8">
        <v>5</v>
      </c>
      <c r="D28" s="70">
        <v>3.8</v>
      </c>
      <c r="E28" s="19">
        <f t="shared" si="4"/>
        <v>1.3</v>
      </c>
      <c r="F28" s="74" t="s">
        <v>212</v>
      </c>
      <c r="G28" s="60"/>
      <c r="H28" s="60"/>
      <c r="I28" s="70">
        <v>10</v>
      </c>
      <c r="J28" s="79">
        <f t="shared" si="0"/>
        <v>13</v>
      </c>
      <c r="K28" s="126">
        <f>IF(J28="","",SUM(J$24:J28))</f>
        <v>53.2</v>
      </c>
      <c r="L28" s="124">
        <f t="shared" si="1"/>
        <v>14</v>
      </c>
      <c r="M28" s="84">
        <f t="shared" si="2"/>
      </c>
      <c r="N28" s="11"/>
      <c r="O28" s="19">
        <f t="shared" si="3"/>
      </c>
      <c r="P28" s="47"/>
    </row>
    <row r="29" spans="3:16" ht="15" customHeight="1">
      <c r="C29" s="8">
        <v>6</v>
      </c>
      <c r="D29" s="70">
        <v>4.6</v>
      </c>
      <c r="E29" s="19">
        <f t="shared" si="4"/>
        <v>0.8</v>
      </c>
      <c r="F29" s="74" t="s">
        <v>213</v>
      </c>
      <c r="G29" s="60"/>
      <c r="H29" s="60"/>
      <c r="I29" s="70">
        <v>8</v>
      </c>
      <c r="J29" s="79">
        <f t="shared" si="0"/>
        <v>6.4</v>
      </c>
      <c r="K29" s="126">
        <f>IF(J29="","",SUM(J$24:J29))</f>
        <v>59.6</v>
      </c>
      <c r="L29" s="124">
        <f t="shared" si="1"/>
        <v>13</v>
      </c>
      <c r="M29" s="84">
        <f t="shared" si="2"/>
      </c>
      <c r="N29" s="11"/>
      <c r="O29" s="19">
        <f t="shared" si="3"/>
      </c>
      <c r="P29" s="47"/>
    </row>
    <row r="30" spans="3:16" ht="15" customHeight="1">
      <c r="C30" s="8">
        <v>7</v>
      </c>
      <c r="D30" s="70">
        <v>5.8</v>
      </c>
      <c r="E30" s="19">
        <f t="shared" si="4"/>
        <v>1.2</v>
      </c>
      <c r="F30" s="74" t="s">
        <v>214</v>
      </c>
      <c r="G30" s="60"/>
      <c r="H30" s="60"/>
      <c r="I30" s="70">
        <v>10</v>
      </c>
      <c r="J30" s="79">
        <f t="shared" si="0"/>
        <v>12</v>
      </c>
      <c r="K30" s="126">
        <f>IF(J30="","",SUM(J$24:J30))</f>
        <v>71.6</v>
      </c>
      <c r="L30" s="124">
        <f t="shared" si="1"/>
        <v>12.3</v>
      </c>
      <c r="M30" s="84">
        <f t="shared" si="2"/>
      </c>
      <c r="N30" s="11"/>
      <c r="O30" s="19">
        <f t="shared" si="3"/>
      </c>
      <c r="P30" s="47"/>
    </row>
    <row r="31" spans="3:16" ht="15" customHeight="1">
      <c r="C31" s="8">
        <v>8</v>
      </c>
      <c r="D31" s="70">
        <v>6.4</v>
      </c>
      <c r="E31" s="19">
        <f t="shared" si="4"/>
        <v>0.6</v>
      </c>
      <c r="F31" s="74" t="s">
        <v>213</v>
      </c>
      <c r="G31" s="60"/>
      <c r="H31" s="60"/>
      <c r="I31" s="70">
        <v>8</v>
      </c>
      <c r="J31" s="79">
        <f t="shared" si="0"/>
        <v>4.8</v>
      </c>
      <c r="K31" s="126">
        <f>IF(J31="","",SUM(J$24:J31))</f>
        <v>76.39999999999999</v>
      </c>
      <c r="L31" s="124">
        <f t="shared" si="1"/>
        <v>11.9</v>
      </c>
      <c r="M31" s="84">
        <f t="shared" si="2"/>
      </c>
      <c r="N31" s="11"/>
      <c r="O31" s="19">
        <f t="shared" si="3"/>
      </c>
      <c r="P31" s="47"/>
    </row>
    <row r="32" spans="3:16" ht="15" customHeight="1">
      <c r="C32" s="8">
        <v>9</v>
      </c>
      <c r="D32" s="70">
        <v>7.1</v>
      </c>
      <c r="E32" s="19">
        <f t="shared" si="4"/>
        <v>0.7</v>
      </c>
      <c r="F32" s="74" t="s">
        <v>214</v>
      </c>
      <c r="G32" s="60"/>
      <c r="H32" s="60"/>
      <c r="I32" s="70">
        <v>10</v>
      </c>
      <c r="J32" s="79">
        <f t="shared" si="0"/>
        <v>7</v>
      </c>
      <c r="K32" s="126">
        <f>IF(J32="","",SUM(J$24:J32))</f>
        <v>83.39999999999999</v>
      </c>
      <c r="L32" s="124">
        <f t="shared" si="1"/>
        <v>11.7</v>
      </c>
      <c r="M32" s="84">
        <f t="shared" si="2"/>
      </c>
      <c r="N32" s="11"/>
      <c r="O32" s="19">
        <f t="shared" si="3"/>
      </c>
      <c r="P32" s="47"/>
    </row>
    <row r="33" spans="3:16" ht="15" customHeight="1">
      <c r="C33" s="8">
        <v>10</v>
      </c>
      <c r="D33" s="70">
        <v>7.8</v>
      </c>
      <c r="E33" s="19">
        <f t="shared" si="4"/>
        <v>0.7</v>
      </c>
      <c r="F33" s="74" t="s">
        <v>213</v>
      </c>
      <c r="G33" s="60"/>
      <c r="H33" s="60"/>
      <c r="I33" s="70">
        <v>8</v>
      </c>
      <c r="J33" s="79">
        <f t="shared" si="0"/>
        <v>5.6</v>
      </c>
      <c r="K33" s="126">
        <f>IF(J33="","",SUM(J$24:J33))</f>
        <v>88.99999999999999</v>
      </c>
      <c r="L33" s="124">
        <f t="shared" si="1"/>
        <v>11.4</v>
      </c>
      <c r="M33" s="84">
        <f t="shared" si="2"/>
      </c>
      <c r="N33" s="11"/>
      <c r="O33" s="19">
        <f t="shared" si="3"/>
      </c>
      <c r="P33" s="47"/>
    </row>
    <row r="34" spans="3:16" ht="15" customHeight="1">
      <c r="C34" s="8">
        <v>11</v>
      </c>
      <c r="D34" s="70">
        <v>8.2</v>
      </c>
      <c r="E34" s="19">
        <f t="shared" si="4"/>
        <v>0.4</v>
      </c>
      <c r="F34" s="74" t="s">
        <v>211</v>
      </c>
      <c r="G34" s="60"/>
      <c r="H34" s="60"/>
      <c r="I34" s="70">
        <v>8</v>
      </c>
      <c r="J34" s="79">
        <f t="shared" si="0"/>
        <v>3.2</v>
      </c>
      <c r="K34" s="126">
        <f>IF(J34="","",SUM(J$24:J34))</f>
        <v>92.19999999999999</v>
      </c>
      <c r="L34" s="124">
        <f t="shared" si="1"/>
        <v>11.2</v>
      </c>
      <c r="M34" s="84">
        <f t="shared" si="2"/>
      </c>
      <c r="N34" s="11"/>
      <c r="O34" s="19">
        <f t="shared" si="3"/>
      </c>
      <c r="P34" s="47"/>
    </row>
    <row r="35" spans="3:16" ht="15" customHeight="1">
      <c r="C35" s="8">
        <v>12</v>
      </c>
      <c r="D35" s="70">
        <v>8.8</v>
      </c>
      <c r="E35" s="19">
        <f t="shared" si="4"/>
        <v>0.6</v>
      </c>
      <c r="F35" s="74" t="s">
        <v>215</v>
      </c>
      <c r="G35" s="60"/>
      <c r="H35" s="60"/>
      <c r="I35" s="70">
        <v>6.5</v>
      </c>
      <c r="J35" s="79">
        <f t="shared" si="0"/>
        <v>3.9</v>
      </c>
      <c r="K35" s="126">
        <f>IF(J35="","",SUM(J$24:J35))</f>
        <v>96.1</v>
      </c>
      <c r="L35" s="124">
        <f t="shared" si="1"/>
        <v>10.9</v>
      </c>
      <c r="M35" s="84">
        <f t="shared" si="2"/>
      </c>
      <c r="N35" s="11"/>
      <c r="O35" s="19">
        <f t="shared" si="3"/>
      </c>
      <c r="P35" s="47"/>
    </row>
    <row r="36" spans="3:16" ht="15" customHeight="1">
      <c r="C36" s="8">
        <v>13</v>
      </c>
      <c r="D36" s="70">
        <v>9.6</v>
      </c>
      <c r="E36" s="19">
        <f t="shared" si="4"/>
        <v>0.8</v>
      </c>
      <c r="F36" s="74" t="s">
        <v>216</v>
      </c>
      <c r="G36" s="60"/>
      <c r="H36" s="60"/>
      <c r="I36" s="70">
        <v>7</v>
      </c>
      <c r="J36" s="79">
        <f t="shared" si="0"/>
        <v>5.6</v>
      </c>
      <c r="K36" s="126">
        <f>IF(J36="","",SUM(J$24:J36))</f>
        <v>101.69999999999999</v>
      </c>
      <c r="L36" s="124">
        <f t="shared" si="1"/>
        <v>10.6</v>
      </c>
      <c r="M36" s="84">
        <f t="shared" si="2"/>
      </c>
      <c r="N36" s="11"/>
      <c r="O36" s="19">
        <f t="shared" si="3"/>
      </c>
      <c r="P36" s="47"/>
    </row>
    <row r="37" spans="3:16" ht="15" customHeight="1">
      <c r="C37" s="8">
        <v>14</v>
      </c>
      <c r="D37" s="70">
        <v>10.5</v>
      </c>
      <c r="E37" s="19">
        <f t="shared" si="4"/>
        <v>0.9</v>
      </c>
      <c r="F37" s="74" t="s">
        <v>217</v>
      </c>
      <c r="G37" s="60"/>
      <c r="H37" s="60"/>
      <c r="I37" s="70">
        <v>10</v>
      </c>
      <c r="J37" s="79">
        <f t="shared" si="0"/>
        <v>9</v>
      </c>
      <c r="K37" s="126">
        <f>IF(J37="","",SUM(J$24:J37))</f>
        <v>110.69999999999999</v>
      </c>
      <c r="L37" s="124">
        <f t="shared" si="1"/>
        <v>10.5</v>
      </c>
      <c r="M37" s="84">
        <f t="shared" si="2"/>
      </c>
      <c r="N37" s="11"/>
      <c r="O37" s="19">
        <f t="shared" si="3"/>
      </c>
      <c r="P37" s="47"/>
    </row>
    <row r="38" spans="3:16" ht="15" customHeight="1">
      <c r="C38" s="8">
        <v>15</v>
      </c>
      <c r="D38" s="70">
        <v>15.3</v>
      </c>
      <c r="E38" s="19">
        <f t="shared" si="4"/>
        <v>4.8</v>
      </c>
      <c r="F38" s="74" t="s">
        <v>218</v>
      </c>
      <c r="G38" s="60"/>
      <c r="H38" s="60"/>
      <c r="I38" s="70">
        <v>11</v>
      </c>
      <c r="J38" s="79">
        <f t="shared" si="0"/>
        <v>52.8</v>
      </c>
      <c r="K38" s="126">
        <f>IF(J38="","",SUM(J$24:J38))</f>
        <v>163.5</v>
      </c>
      <c r="L38" s="124">
        <f t="shared" si="1"/>
        <v>10.7</v>
      </c>
      <c r="M38" s="84">
        <f t="shared" si="2"/>
        <v>11</v>
      </c>
      <c r="N38" s="11">
        <v>2.25</v>
      </c>
      <c r="O38" s="19">
        <f t="shared" si="3"/>
        <v>24.8</v>
      </c>
      <c r="P38" s="47"/>
    </row>
    <row r="39" spans="3:16" ht="15" customHeight="1">
      <c r="C39" s="8">
        <v>16</v>
      </c>
      <c r="D39" s="70">
        <v>15.7</v>
      </c>
      <c r="E39" s="19">
        <f t="shared" si="4"/>
        <v>0.4</v>
      </c>
      <c r="F39" s="74" t="s">
        <v>219</v>
      </c>
      <c r="G39" s="60"/>
      <c r="H39" s="60"/>
      <c r="I39" s="70">
        <v>7</v>
      </c>
      <c r="J39" s="79">
        <f t="shared" si="0"/>
        <v>2.8</v>
      </c>
      <c r="K39" s="126">
        <f>IF(J39="","",SUM(J$24:J39))</f>
        <v>166.3</v>
      </c>
      <c r="L39" s="124">
        <f t="shared" si="1"/>
        <v>10.6</v>
      </c>
      <c r="M39" s="84">
        <f t="shared" si="2"/>
      </c>
      <c r="N39" s="11"/>
      <c r="O39" s="19">
        <f t="shared" si="3"/>
      </c>
      <c r="P39" s="47"/>
    </row>
    <row r="40" spans="3:16" ht="15" customHeight="1">
      <c r="C40" s="8">
        <v>17</v>
      </c>
      <c r="D40" s="70">
        <v>17</v>
      </c>
      <c r="E40" s="19">
        <f t="shared" si="4"/>
        <v>1.3</v>
      </c>
      <c r="F40" s="74" t="s">
        <v>220</v>
      </c>
      <c r="G40" s="60"/>
      <c r="H40" s="60"/>
      <c r="I40" s="70">
        <v>10</v>
      </c>
      <c r="J40" s="79">
        <f t="shared" si="0"/>
        <v>13</v>
      </c>
      <c r="K40" s="126">
        <f>IF(J40="","",SUM(J$24:J40))</f>
        <v>179.3</v>
      </c>
      <c r="L40" s="124">
        <f t="shared" si="1"/>
        <v>10.5</v>
      </c>
      <c r="M40" s="84">
        <f t="shared" si="2"/>
      </c>
      <c r="N40" s="11"/>
      <c r="O40" s="19">
        <f t="shared" si="3"/>
      </c>
      <c r="P40" s="47"/>
    </row>
    <row r="41" spans="3:16" ht="15" customHeight="1">
      <c r="C41" s="8">
        <v>18</v>
      </c>
      <c r="D41" s="70">
        <v>19.5</v>
      </c>
      <c r="E41" s="19">
        <f t="shared" si="4"/>
        <v>2.5</v>
      </c>
      <c r="F41" s="74" t="s">
        <v>221</v>
      </c>
      <c r="G41" s="60"/>
      <c r="H41" s="60"/>
      <c r="I41" s="70">
        <v>11</v>
      </c>
      <c r="J41" s="79">
        <f t="shared" si="0"/>
        <v>27.5</v>
      </c>
      <c r="K41" s="126">
        <f>IF(J41="","",SUM(J$24:J41))</f>
        <v>206.8</v>
      </c>
      <c r="L41" s="124">
        <f t="shared" si="1"/>
        <v>10.6</v>
      </c>
      <c r="M41" s="84">
        <f t="shared" si="2"/>
      </c>
      <c r="N41" s="11"/>
      <c r="O41" s="19">
        <f t="shared" si="3"/>
      </c>
      <c r="P41" s="47"/>
    </row>
    <row r="42" spans="3:16" ht="15" customHeight="1">
      <c r="C42" s="8">
        <v>19</v>
      </c>
      <c r="D42" s="70">
        <v>21.6</v>
      </c>
      <c r="E42" s="19">
        <f t="shared" si="4"/>
        <v>2.1</v>
      </c>
      <c r="F42" s="74" t="s">
        <v>222</v>
      </c>
      <c r="G42" s="60"/>
      <c r="H42" s="60"/>
      <c r="I42" s="70">
        <v>10</v>
      </c>
      <c r="J42" s="79">
        <f t="shared" si="0"/>
        <v>21</v>
      </c>
      <c r="K42" s="126">
        <f>IF(J42="","",SUM(J$24:J42))</f>
        <v>227.8</v>
      </c>
      <c r="L42" s="124">
        <f t="shared" si="1"/>
        <v>10.5</v>
      </c>
      <c r="M42" s="84">
        <f t="shared" si="2"/>
      </c>
      <c r="N42" s="11"/>
      <c r="O42" s="19">
        <f t="shared" si="3"/>
      </c>
      <c r="P42" s="47"/>
    </row>
    <row r="43" spans="3:16" ht="15" customHeight="1">
      <c r="C43" s="8">
        <v>20</v>
      </c>
      <c r="D43" s="70">
        <v>22.37</v>
      </c>
      <c r="E43" s="19">
        <f t="shared" si="4"/>
        <v>0.77</v>
      </c>
      <c r="F43" s="74" t="s">
        <v>223</v>
      </c>
      <c r="G43" s="60"/>
      <c r="H43" s="60"/>
      <c r="I43" s="70">
        <v>10</v>
      </c>
      <c r="J43" s="79">
        <f t="shared" si="0"/>
        <v>7.7</v>
      </c>
      <c r="K43" s="126">
        <f>IF(J43="","",SUM(J$24:J43))</f>
        <v>235.5</v>
      </c>
      <c r="L43" s="124">
        <f t="shared" si="1"/>
        <v>10.5</v>
      </c>
      <c r="M43" s="84">
        <f t="shared" si="2"/>
      </c>
      <c r="N43" s="11"/>
      <c r="O43" s="19">
        <f t="shared" si="3"/>
      </c>
      <c r="P43" s="47"/>
    </row>
    <row r="44" spans="3:16" ht="15" customHeight="1">
      <c r="C44" s="8">
        <v>21</v>
      </c>
      <c r="D44" s="70"/>
      <c r="E44" s="19">
        <f t="shared" si="4"/>
      </c>
      <c r="F44" s="75"/>
      <c r="G44" s="60"/>
      <c r="H44" s="60"/>
      <c r="I44" s="70"/>
      <c r="J44" s="79">
        <f t="shared" si="0"/>
      </c>
      <c r="K44" s="126">
        <f>IF(J44="","",SUM(J$24:J44))</f>
      </c>
      <c r="L44" s="124">
        <f t="shared" si="1"/>
      </c>
      <c r="M44" s="84">
        <f aca="true" t="shared" si="5" ref="M44:M68">IF(L44="","",IF(D44=$F$7,ROUND((D44-$F$8)*ROUNDUP(L44,0),1),""))</f>
      </c>
      <c r="N44" s="61"/>
      <c r="O44" s="19">
        <f t="shared" si="3"/>
      </c>
      <c r="P44" s="47"/>
    </row>
    <row r="45" spans="3:16" ht="15" customHeight="1">
      <c r="C45" s="8">
        <v>22</v>
      </c>
      <c r="D45" s="70"/>
      <c r="E45" s="19">
        <f t="shared" si="4"/>
      </c>
      <c r="F45" s="75"/>
      <c r="G45" s="60"/>
      <c r="H45" s="60"/>
      <c r="I45" s="70"/>
      <c r="J45" s="79">
        <f t="shared" si="0"/>
      </c>
      <c r="K45" s="126">
        <f>IF(J45="","",SUM(J$24:J45))</f>
      </c>
      <c r="L45" s="124">
        <f t="shared" si="1"/>
      </c>
      <c r="M45" s="84">
        <f t="shared" si="5"/>
      </c>
      <c r="N45" s="61"/>
      <c r="O45" s="19">
        <f t="shared" si="3"/>
      </c>
      <c r="P45" s="47"/>
    </row>
    <row r="46" spans="3:16" ht="15" customHeight="1">
      <c r="C46" s="8">
        <v>23</v>
      </c>
      <c r="D46" s="70"/>
      <c r="E46" s="19">
        <f t="shared" si="4"/>
      </c>
      <c r="F46" s="75"/>
      <c r="G46" s="60"/>
      <c r="H46" s="60"/>
      <c r="I46" s="70"/>
      <c r="J46" s="79">
        <f t="shared" si="0"/>
      </c>
      <c r="K46" s="126">
        <f>IF(J46="","",SUM(J$24:J46))</f>
      </c>
      <c r="L46" s="124">
        <f t="shared" si="1"/>
      </c>
      <c r="M46" s="84">
        <f t="shared" si="5"/>
      </c>
      <c r="N46" s="61"/>
      <c r="O46" s="19">
        <f t="shared" si="3"/>
      </c>
      <c r="P46" s="47"/>
    </row>
    <row r="47" spans="3:16" ht="15" customHeight="1">
      <c r="C47" s="8">
        <v>24</v>
      </c>
      <c r="D47" s="70"/>
      <c r="E47" s="19">
        <f t="shared" si="4"/>
      </c>
      <c r="F47" s="75"/>
      <c r="G47" s="60"/>
      <c r="H47" s="60"/>
      <c r="I47" s="70"/>
      <c r="J47" s="79">
        <f t="shared" si="0"/>
      </c>
      <c r="K47" s="126">
        <f>IF(J47="","",SUM(J$24:J47))</f>
      </c>
      <c r="L47" s="124">
        <f t="shared" si="1"/>
      </c>
      <c r="M47" s="84">
        <f t="shared" si="5"/>
      </c>
      <c r="N47" s="61"/>
      <c r="O47" s="19">
        <f t="shared" si="3"/>
      </c>
      <c r="P47" s="47"/>
    </row>
    <row r="48" spans="3:16" ht="15" customHeight="1">
      <c r="C48" s="8">
        <v>25</v>
      </c>
      <c r="D48" s="70"/>
      <c r="E48" s="19">
        <f t="shared" si="4"/>
      </c>
      <c r="F48" s="75"/>
      <c r="G48" s="60"/>
      <c r="H48" s="60"/>
      <c r="I48" s="70"/>
      <c r="J48" s="79">
        <f t="shared" si="0"/>
      </c>
      <c r="K48" s="126">
        <f>IF(J48="","",SUM(J$24:J48))</f>
      </c>
      <c r="L48" s="124">
        <f t="shared" si="1"/>
      </c>
      <c r="M48" s="84">
        <f t="shared" si="5"/>
      </c>
      <c r="N48" s="61"/>
      <c r="O48" s="19">
        <f t="shared" si="3"/>
      </c>
      <c r="P48" s="47"/>
    </row>
    <row r="49" spans="3:16" ht="15" customHeight="1">
      <c r="C49" s="8">
        <v>26</v>
      </c>
      <c r="D49" s="70"/>
      <c r="E49" s="19">
        <f t="shared" si="4"/>
      </c>
      <c r="F49" s="75"/>
      <c r="G49" s="60"/>
      <c r="H49" s="60"/>
      <c r="I49" s="70"/>
      <c r="J49" s="79">
        <f t="shared" si="0"/>
      </c>
      <c r="K49" s="126">
        <f>IF(J49="","",SUM(J$24:J49))</f>
      </c>
      <c r="L49" s="124">
        <f t="shared" si="1"/>
      </c>
      <c r="M49" s="84">
        <f t="shared" si="5"/>
      </c>
      <c r="N49" s="61"/>
      <c r="O49" s="19">
        <f t="shared" si="3"/>
      </c>
      <c r="P49" s="47"/>
    </row>
    <row r="50" spans="3:16" ht="15" customHeight="1">
      <c r="C50" s="8">
        <v>27</v>
      </c>
      <c r="D50" s="70"/>
      <c r="E50" s="19">
        <f t="shared" si="4"/>
      </c>
      <c r="F50" s="75"/>
      <c r="G50" s="60"/>
      <c r="H50" s="60"/>
      <c r="I50" s="70"/>
      <c r="J50" s="79">
        <f t="shared" si="0"/>
      </c>
      <c r="K50" s="126">
        <f>IF(J50="","",SUM(J$24:J50))</f>
      </c>
      <c r="L50" s="124">
        <f t="shared" si="1"/>
      </c>
      <c r="M50" s="84">
        <f t="shared" si="5"/>
      </c>
      <c r="N50" s="61"/>
      <c r="O50" s="19">
        <f t="shared" si="3"/>
      </c>
      <c r="P50" s="47"/>
    </row>
    <row r="51" spans="3:16" ht="15" customHeight="1">
      <c r="C51" s="8">
        <v>28</v>
      </c>
      <c r="D51" s="70"/>
      <c r="E51" s="19">
        <f t="shared" si="4"/>
      </c>
      <c r="F51" s="75"/>
      <c r="G51" s="60"/>
      <c r="H51" s="60"/>
      <c r="I51" s="70"/>
      <c r="J51" s="79">
        <f t="shared" si="0"/>
      </c>
      <c r="K51" s="126">
        <f>IF(J51="","",SUM(J$24:J51))</f>
      </c>
      <c r="L51" s="124">
        <f t="shared" si="1"/>
      </c>
      <c r="M51" s="84">
        <f t="shared" si="5"/>
      </c>
      <c r="N51" s="61"/>
      <c r="O51" s="19">
        <f t="shared" si="3"/>
      </c>
      <c r="P51" s="47"/>
    </row>
    <row r="52" spans="3:16" ht="15" customHeight="1">
      <c r="C52" s="8">
        <v>29</v>
      </c>
      <c r="D52" s="70"/>
      <c r="E52" s="19">
        <f t="shared" si="4"/>
      </c>
      <c r="F52" s="75"/>
      <c r="G52" s="60"/>
      <c r="H52" s="60"/>
      <c r="I52" s="70"/>
      <c r="J52" s="79">
        <f t="shared" si="0"/>
      </c>
      <c r="K52" s="126">
        <f>IF(J52="","",SUM(J$24:J52))</f>
      </c>
      <c r="L52" s="124">
        <f t="shared" si="1"/>
      </c>
      <c r="M52" s="84">
        <f t="shared" si="5"/>
      </c>
      <c r="N52" s="61"/>
      <c r="O52" s="19">
        <f t="shared" si="3"/>
      </c>
      <c r="P52" s="47"/>
    </row>
    <row r="53" spans="3:16" ht="15" customHeight="1">
      <c r="C53" s="8">
        <v>30</v>
      </c>
      <c r="D53" s="70"/>
      <c r="E53" s="19">
        <f t="shared" si="4"/>
      </c>
      <c r="F53" s="75"/>
      <c r="G53" s="60"/>
      <c r="H53" s="60"/>
      <c r="I53" s="70"/>
      <c r="J53" s="79">
        <f t="shared" si="0"/>
      </c>
      <c r="K53" s="126">
        <f>IF(J53="","",SUM(J$24:J53))</f>
      </c>
      <c r="L53" s="124">
        <f t="shared" si="1"/>
      </c>
      <c r="M53" s="84">
        <f t="shared" si="5"/>
      </c>
      <c r="N53" s="61"/>
      <c r="O53" s="19">
        <f t="shared" si="3"/>
      </c>
      <c r="P53" s="47"/>
    </row>
    <row r="54" spans="3:16" ht="15" customHeight="1">
      <c r="C54" s="8">
        <v>31</v>
      </c>
      <c r="D54" s="70"/>
      <c r="E54" s="19">
        <f t="shared" si="4"/>
      </c>
      <c r="F54" s="75"/>
      <c r="G54" s="60"/>
      <c r="H54" s="60"/>
      <c r="I54" s="70"/>
      <c r="J54" s="79">
        <f t="shared" si="0"/>
      </c>
      <c r="K54" s="126">
        <f>IF(J54="","",SUM(J$24:J54))</f>
      </c>
      <c r="L54" s="124">
        <f t="shared" si="1"/>
      </c>
      <c r="M54" s="84">
        <f t="shared" si="5"/>
      </c>
      <c r="N54" s="61"/>
      <c r="O54" s="19">
        <f t="shared" si="3"/>
      </c>
      <c r="P54" s="47"/>
    </row>
    <row r="55" spans="3:16" ht="15" customHeight="1">
      <c r="C55" s="8">
        <v>32</v>
      </c>
      <c r="D55" s="70"/>
      <c r="E55" s="19">
        <f t="shared" si="4"/>
      </c>
      <c r="F55" s="75"/>
      <c r="G55" s="60"/>
      <c r="H55" s="60"/>
      <c r="I55" s="70"/>
      <c r="J55" s="79">
        <f t="shared" si="0"/>
      </c>
      <c r="K55" s="126">
        <f>IF(J55="","",SUM(J$24:J55))</f>
      </c>
      <c r="L55" s="124">
        <f t="shared" si="1"/>
      </c>
      <c r="M55" s="84">
        <f t="shared" si="5"/>
      </c>
      <c r="N55" s="61"/>
      <c r="O55" s="19">
        <f t="shared" si="3"/>
      </c>
      <c r="P55" s="47"/>
    </row>
    <row r="56" spans="3:16" ht="15" customHeight="1">
      <c r="C56" s="8">
        <v>33</v>
      </c>
      <c r="D56" s="70"/>
      <c r="E56" s="19">
        <f t="shared" si="4"/>
      </c>
      <c r="F56" s="75"/>
      <c r="G56" s="60"/>
      <c r="H56" s="60"/>
      <c r="I56" s="70"/>
      <c r="J56" s="79">
        <f t="shared" si="0"/>
      </c>
      <c r="K56" s="126">
        <f>IF(J56="","",SUM(J$24:J56))</f>
      </c>
      <c r="L56" s="124">
        <f t="shared" si="1"/>
      </c>
      <c r="M56" s="84">
        <f t="shared" si="5"/>
      </c>
      <c r="N56" s="61"/>
      <c r="O56" s="19">
        <f t="shared" si="3"/>
      </c>
      <c r="P56" s="47"/>
    </row>
    <row r="57" spans="3:16" ht="15" customHeight="1">
      <c r="C57" s="8">
        <v>34</v>
      </c>
      <c r="D57" s="70"/>
      <c r="E57" s="19">
        <f t="shared" si="4"/>
      </c>
      <c r="F57" s="75"/>
      <c r="G57" s="60"/>
      <c r="H57" s="60"/>
      <c r="I57" s="70"/>
      <c r="J57" s="79">
        <f t="shared" si="0"/>
      </c>
      <c r="K57" s="126">
        <f>IF(J57="","",SUM(J$24:J57))</f>
      </c>
      <c r="L57" s="124">
        <f t="shared" si="1"/>
      </c>
      <c r="M57" s="84">
        <f t="shared" si="5"/>
      </c>
      <c r="N57" s="61"/>
      <c r="O57" s="19">
        <f t="shared" si="3"/>
      </c>
      <c r="P57" s="47"/>
    </row>
    <row r="58" spans="3:16" ht="15" customHeight="1">
      <c r="C58" s="8">
        <v>35</v>
      </c>
      <c r="D58" s="70"/>
      <c r="E58" s="19">
        <f t="shared" si="4"/>
      </c>
      <c r="F58" s="75"/>
      <c r="G58" s="60"/>
      <c r="H58" s="60"/>
      <c r="I58" s="70"/>
      <c r="J58" s="79">
        <f t="shared" si="0"/>
      </c>
      <c r="K58" s="126">
        <f>IF(J58="","",SUM(J$24:J58))</f>
      </c>
      <c r="L58" s="124">
        <f t="shared" si="1"/>
      </c>
      <c r="M58" s="84">
        <f t="shared" si="5"/>
      </c>
      <c r="N58" s="61"/>
      <c r="O58" s="19">
        <f t="shared" si="3"/>
      </c>
      <c r="P58" s="47"/>
    </row>
    <row r="59" spans="3:16" ht="15" customHeight="1">
      <c r="C59" s="8">
        <v>36</v>
      </c>
      <c r="D59" s="70"/>
      <c r="E59" s="19">
        <f t="shared" si="4"/>
      </c>
      <c r="F59" s="75"/>
      <c r="G59" s="60"/>
      <c r="H59" s="60"/>
      <c r="I59" s="70"/>
      <c r="J59" s="79">
        <f t="shared" si="0"/>
      </c>
      <c r="K59" s="126">
        <f>IF(J59="","",SUM(J$24:J59))</f>
      </c>
      <c r="L59" s="124">
        <f t="shared" si="1"/>
      </c>
      <c r="M59" s="84">
        <f t="shared" si="5"/>
      </c>
      <c r="N59" s="61"/>
      <c r="O59" s="19">
        <f t="shared" si="3"/>
      </c>
      <c r="P59" s="47"/>
    </row>
    <row r="60" spans="3:16" ht="15" customHeight="1">
      <c r="C60" s="8">
        <v>37</v>
      </c>
      <c r="D60" s="70"/>
      <c r="E60" s="19">
        <f t="shared" si="4"/>
      </c>
      <c r="F60" s="75"/>
      <c r="G60" s="60"/>
      <c r="H60" s="60"/>
      <c r="I60" s="70"/>
      <c r="J60" s="79">
        <f t="shared" si="0"/>
      </c>
      <c r="K60" s="126">
        <f>IF(J60="","",SUM(J$24:J60))</f>
      </c>
      <c r="L60" s="124">
        <f t="shared" si="1"/>
      </c>
      <c r="M60" s="84">
        <f t="shared" si="5"/>
      </c>
      <c r="N60" s="61"/>
      <c r="O60" s="19">
        <f t="shared" si="3"/>
      </c>
      <c r="P60" s="47"/>
    </row>
    <row r="61" spans="3:16" ht="15" customHeight="1">
      <c r="C61" s="8">
        <v>38</v>
      </c>
      <c r="D61" s="70"/>
      <c r="E61" s="19">
        <f t="shared" si="4"/>
      </c>
      <c r="F61" s="75"/>
      <c r="G61" s="60"/>
      <c r="H61" s="60"/>
      <c r="I61" s="70"/>
      <c r="J61" s="79">
        <f t="shared" si="0"/>
      </c>
      <c r="K61" s="126">
        <f>IF(J61="","",SUM(J$24:J61))</f>
      </c>
      <c r="L61" s="124">
        <f t="shared" si="1"/>
      </c>
      <c r="M61" s="84">
        <f t="shared" si="5"/>
      </c>
      <c r="N61" s="61"/>
      <c r="O61" s="19">
        <f t="shared" si="3"/>
      </c>
      <c r="P61" s="47"/>
    </row>
    <row r="62" spans="3:16" ht="15" customHeight="1">
      <c r="C62" s="8">
        <v>39</v>
      </c>
      <c r="D62" s="70"/>
      <c r="E62" s="19">
        <f t="shared" si="4"/>
      </c>
      <c r="F62" s="75"/>
      <c r="G62" s="60"/>
      <c r="H62" s="60"/>
      <c r="I62" s="70"/>
      <c r="J62" s="79">
        <f t="shared" si="0"/>
      </c>
      <c r="K62" s="126">
        <f>IF(J62="","",SUM(J$24:J62))</f>
      </c>
      <c r="L62" s="124">
        <f t="shared" si="1"/>
      </c>
      <c r="M62" s="84">
        <f t="shared" si="5"/>
      </c>
      <c r="N62" s="61"/>
      <c r="O62" s="19">
        <f t="shared" si="3"/>
      </c>
      <c r="P62" s="47"/>
    </row>
    <row r="63" spans="3:16" ht="15" customHeight="1">
      <c r="C63" s="8">
        <v>40</v>
      </c>
      <c r="D63" s="70"/>
      <c r="E63" s="19">
        <f t="shared" si="4"/>
      </c>
      <c r="F63" s="75"/>
      <c r="G63" s="60"/>
      <c r="H63" s="60"/>
      <c r="I63" s="70"/>
      <c r="J63" s="79">
        <f t="shared" si="0"/>
      </c>
      <c r="K63" s="126">
        <f>IF(J63="","",SUM(J$24:J63))</f>
      </c>
      <c r="L63" s="124">
        <f t="shared" si="1"/>
      </c>
      <c r="M63" s="84">
        <f t="shared" si="5"/>
      </c>
      <c r="N63" s="61"/>
      <c r="O63" s="19">
        <f t="shared" si="3"/>
      </c>
      <c r="P63" s="47"/>
    </row>
    <row r="64" spans="3:16" ht="15" customHeight="1">
      <c r="C64" s="8">
        <v>41</v>
      </c>
      <c r="D64" s="70"/>
      <c r="E64" s="19">
        <f t="shared" si="4"/>
      </c>
      <c r="F64" s="75"/>
      <c r="G64" s="60"/>
      <c r="H64" s="60"/>
      <c r="I64" s="70"/>
      <c r="J64" s="79">
        <f t="shared" si="0"/>
      </c>
      <c r="K64" s="126">
        <f>IF(J64="","",SUM(J$24:J64))</f>
      </c>
      <c r="L64" s="124">
        <f t="shared" si="1"/>
      </c>
      <c r="M64" s="84">
        <f t="shared" si="5"/>
      </c>
      <c r="N64" s="61"/>
      <c r="O64" s="19">
        <f t="shared" si="3"/>
      </c>
      <c r="P64" s="47"/>
    </row>
    <row r="65" spans="3:16" ht="15" customHeight="1">
      <c r="C65" s="8">
        <v>42</v>
      </c>
      <c r="D65" s="70"/>
      <c r="E65" s="19">
        <f t="shared" si="4"/>
      </c>
      <c r="F65" s="75"/>
      <c r="G65" s="60"/>
      <c r="H65" s="60"/>
      <c r="I65" s="70"/>
      <c r="J65" s="79">
        <f t="shared" si="0"/>
      </c>
      <c r="K65" s="126">
        <f>IF(J65="","",SUM(J$24:J65))</f>
      </c>
      <c r="L65" s="124">
        <f t="shared" si="1"/>
      </c>
      <c r="M65" s="84">
        <f t="shared" si="5"/>
      </c>
      <c r="N65" s="61"/>
      <c r="O65" s="19">
        <f t="shared" si="3"/>
      </c>
      <c r="P65" s="47"/>
    </row>
    <row r="66" spans="3:16" ht="15" customHeight="1">
      <c r="C66" s="8">
        <v>43</v>
      </c>
      <c r="D66" s="70"/>
      <c r="E66" s="19">
        <f t="shared" si="4"/>
      </c>
      <c r="F66" s="75"/>
      <c r="G66" s="60"/>
      <c r="H66" s="60"/>
      <c r="I66" s="70"/>
      <c r="J66" s="79">
        <f t="shared" si="0"/>
      </c>
      <c r="K66" s="126">
        <f>IF(J66="","",SUM(J$24:J66))</f>
      </c>
      <c r="L66" s="124">
        <f t="shared" si="1"/>
      </c>
      <c r="M66" s="84">
        <f t="shared" si="5"/>
      </c>
      <c r="N66" s="61"/>
      <c r="O66" s="19">
        <f t="shared" si="3"/>
      </c>
      <c r="P66" s="47"/>
    </row>
    <row r="67" spans="3:16" ht="15" customHeight="1">
      <c r="C67" s="8">
        <v>44</v>
      </c>
      <c r="D67" s="70"/>
      <c r="E67" s="19">
        <f t="shared" si="4"/>
      </c>
      <c r="F67" s="75"/>
      <c r="G67" s="60"/>
      <c r="H67" s="60"/>
      <c r="I67" s="70"/>
      <c r="J67" s="79">
        <f t="shared" si="0"/>
      </c>
      <c r="K67" s="126">
        <f>IF(J67="","",SUM(J$24:J67))</f>
      </c>
      <c r="L67" s="124">
        <f t="shared" si="1"/>
      </c>
      <c r="M67" s="84">
        <f t="shared" si="5"/>
      </c>
      <c r="N67" s="61"/>
      <c r="O67" s="19">
        <f t="shared" si="3"/>
      </c>
      <c r="P67" s="47"/>
    </row>
    <row r="68" spans="3:16" ht="15" customHeight="1" thickBot="1">
      <c r="C68" s="8">
        <v>45</v>
      </c>
      <c r="D68" s="70"/>
      <c r="E68" s="19">
        <f t="shared" si="4"/>
      </c>
      <c r="F68" s="75"/>
      <c r="G68" s="60"/>
      <c r="H68" s="60"/>
      <c r="I68" s="70"/>
      <c r="J68" s="79">
        <f t="shared" si="0"/>
      </c>
      <c r="K68" s="127">
        <f>IF(J68="","",SUM(J$24:J68))</f>
      </c>
      <c r="L68" s="124">
        <f t="shared" si="1"/>
      </c>
      <c r="M68" s="84">
        <f t="shared" si="5"/>
      </c>
      <c r="N68" s="61"/>
      <c r="O68" s="19">
        <f t="shared" si="3"/>
      </c>
      <c r="P68" s="47"/>
    </row>
    <row r="69" spans="3:16" ht="18.75" customHeight="1" thickBot="1" thickTop="1">
      <c r="C69" s="3"/>
      <c r="D69" s="3"/>
      <c r="E69" s="3"/>
      <c r="F69" s="3"/>
      <c r="G69" s="3"/>
      <c r="H69" s="3"/>
      <c r="I69" s="3"/>
      <c r="J69" s="3"/>
      <c r="K69" s="3"/>
      <c r="L69" s="3"/>
      <c r="M69" s="3"/>
      <c r="N69" s="56" t="s">
        <v>224</v>
      </c>
      <c r="O69" s="90">
        <f>SUM(O24:O68)</f>
        <v>24.8</v>
      </c>
      <c r="P69" s="47"/>
    </row>
    <row r="70" spans="14:15" ht="18.75" customHeight="1" thickTop="1">
      <c r="N70" s="3"/>
      <c r="O70" s="3"/>
    </row>
  </sheetData>
  <sheetProtection/>
  <mergeCells count="2">
    <mergeCell ref="C2:F2"/>
    <mergeCell ref="G2:O2"/>
  </mergeCells>
  <printOptions horizontalCentered="1"/>
  <pageMargins left="0.39375" right="0.20069444444444445" top="0.39375" bottom="0.2125" header="0.512" footer="0.512"/>
  <pageSetup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2011-05-11T08:02:28Z</cp:lastPrinted>
  <dcterms:created xsi:type="dcterms:W3CDTF">2011-05-10T23:48:38Z</dcterms:created>
  <dcterms:modified xsi:type="dcterms:W3CDTF">2012-03-04T13:23:01Z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